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240" windowWidth="16380" windowHeight="79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Rick</author>
    <author/>
  </authors>
  <commentList>
    <comment ref="AS2" authorId="0">
      <text>
        <r>
          <rPr>
            <b/>
            <sz val="9"/>
            <rFont val="Tahoma"/>
            <family val="2"/>
          </rPr>
          <t>Rick:</t>
        </r>
        <r>
          <rPr>
            <sz val="9"/>
            <rFont val="Tahoma"/>
            <family val="2"/>
          </rPr>
          <t xml:space="preserve">
Tests for 6 days
</t>
        </r>
      </text>
    </comment>
    <comment ref="AT2" authorId="0">
      <text>
        <r>
          <rPr>
            <b/>
            <sz val="9"/>
            <rFont val="Tahoma"/>
            <family val="2"/>
          </rPr>
          <t>Rick:</t>
        </r>
        <r>
          <rPr>
            <sz val="9"/>
            <rFont val="Tahoma"/>
            <family val="2"/>
          </rPr>
          <t xml:space="preserve">
adds if days in other season
</t>
        </r>
      </text>
    </comment>
    <comment ref="AS3" authorId="0">
      <text>
        <r>
          <rPr>
            <b/>
            <sz val="9"/>
            <rFont val="Tahoma"/>
            <family val="2"/>
          </rPr>
          <t>Rick:</t>
        </r>
        <r>
          <rPr>
            <sz val="9"/>
            <rFont val="Tahoma"/>
            <family val="2"/>
          </rPr>
          <t xml:space="preserve">
Tests for over 6 days
</t>
        </r>
      </text>
    </comment>
    <comment ref="AS4" authorId="0">
      <text>
        <r>
          <rPr>
            <b/>
            <sz val="9"/>
            <rFont val="Tahoma"/>
            <family val="2"/>
          </rPr>
          <t>Rick:</t>
        </r>
        <r>
          <rPr>
            <sz val="9"/>
            <rFont val="Tahoma"/>
            <family val="2"/>
          </rPr>
          <t xml:space="preserve">
Checks for 40 days
</t>
        </r>
      </text>
    </comment>
    <comment ref="S37" authorId="1">
      <text>
        <r>
          <rPr>
            <b/>
            <sz val="9"/>
            <color indexed="8"/>
            <rFont val="Tahoma"/>
            <family val="2"/>
          </rPr>
          <t xml:space="preserve">Rick:
</t>
        </r>
        <r>
          <rPr>
            <sz val="9"/>
            <color indexed="8"/>
            <rFont val="Tahoma"/>
            <family val="2"/>
          </rPr>
          <t xml:space="preserve">Weekend nights
</t>
        </r>
      </text>
    </comment>
    <comment ref="S38" authorId="1">
      <text>
        <r>
          <rPr>
            <b/>
            <sz val="9"/>
            <color indexed="8"/>
            <rFont val="Tahoma"/>
            <family val="2"/>
          </rPr>
          <t xml:space="preserve">Rick:
</t>
        </r>
        <r>
          <rPr>
            <sz val="9"/>
            <color indexed="8"/>
            <rFont val="Tahoma"/>
            <family val="2"/>
          </rPr>
          <t xml:space="preserve">Weekend nights
</t>
        </r>
      </text>
    </comment>
    <comment ref="S39" authorId="1">
      <text>
        <r>
          <rPr>
            <b/>
            <sz val="9"/>
            <color indexed="8"/>
            <rFont val="Tahoma"/>
            <family val="2"/>
          </rPr>
          <t xml:space="preserve">Rick:
</t>
        </r>
        <r>
          <rPr>
            <sz val="9"/>
            <color indexed="8"/>
            <rFont val="Tahoma"/>
            <family val="2"/>
          </rPr>
          <t xml:space="preserve">Weekend nights
</t>
        </r>
      </text>
    </comment>
    <comment ref="S40" authorId="1">
      <text>
        <r>
          <rPr>
            <b/>
            <sz val="9"/>
            <color indexed="8"/>
            <rFont val="Tahoma"/>
            <family val="2"/>
          </rPr>
          <t xml:space="preserve">Rick:
</t>
        </r>
        <r>
          <rPr>
            <sz val="9"/>
            <color indexed="8"/>
            <rFont val="Tahoma"/>
            <family val="2"/>
          </rPr>
          <t xml:space="preserve">Weekend nights
</t>
        </r>
      </text>
    </comment>
    <comment ref="S41" authorId="1">
      <text>
        <r>
          <rPr>
            <b/>
            <sz val="9"/>
            <color indexed="8"/>
            <rFont val="Tahoma"/>
            <family val="2"/>
          </rPr>
          <t xml:space="preserve">Rick:
</t>
        </r>
        <r>
          <rPr>
            <sz val="9"/>
            <color indexed="8"/>
            <rFont val="Tahoma"/>
            <family val="2"/>
          </rPr>
          <t xml:space="preserve">Weekend nights
</t>
        </r>
      </text>
    </comment>
    <comment ref="S42" authorId="1">
      <text>
        <r>
          <rPr>
            <b/>
            <sz val="9"/>
            <color indexed="8"/>
            <rFont val="Tahoma"/>
            <family val="2"/>
          </rPr>
          <t xml:space="preserve">Rick:
</t>
        </r>
        <r>
          <rPr>
            <sz val="9"/>
            <color indexed="8"/>
            <rFont val="Tahoma"/>
            <family val="2"/>
          </rPr>
          <t xml:space="preserve">Weekend nights
</t>
        </r>
      </text>
    </comment>
    <comment ref="S43" authorId="1">
      <text>
        <r>
          <rPr>
            <b/>
            <sz val="9"/>
            <color indexed="8"/>
            <rFont val="Tahoma"/>
            <family val="2"/>
          </rPr>
          <t xml:space="preserve">Rick:
</t>
        </r>
        <r>
          <rPr>
            <sz val="9"/>
            <color indexed="8"/>
            <rFont val="Tahoma"/>
            <family val="2"/>
          </rPr>
          <t xml:space="preserve">Weekend nights
</t>
        </r>
      </text>
    </comment>
    <comment ref="S44" authorId="1">
      <text>
        <r>
          <rPr>
            <b/>
            <sz val="9"/>
            <color indexed="8"/>
            <rFont val="Tahoma"/>
            <family val="2"/>
          </rPr>
          <t xml:space="preserve">Rick:
</t>
        </r>
        <r>
          <rPr>
            <sz val="9"/>
            <color indexed="8"/>
            <rFont val="Tahoma"/>
            <family val="2"/>
          </rPr>
          <t xml:space="preserve">Weekend nights
</t>
        </r>
      </text>
    </comment>
    <comment ref="S45" authorId="1">
      <text>
        <r>
          <rPr>
            <b/>
            <sz val="9"/>
            <color indexed="8"/>
            <rFont val="Tahoma"/>
            <family val="2"/>
          </rPr>
          <t xml:space="preserve">Rick:
</t>
        </r>
        <r>
          <rPr>
            <sz val="9"/>
            <color indexed="8"/>
            <rFont val="Tahoma"/>
            <family val="2"/>
          </rPr>
          <t xml:space="preserve">Weekend nights
</t>
        </r>
      </text>
    </comment>
    <comment ref="S46" authorId="1">
      <text>
        <r>
          <rPr>
            <b/>
            <sz val="9"/>
            <color indexed="8"/>
            <rFont val="Tahoma"/>
            <family val="2"/>
          </rPr>
          <t xml:space="preserve">Rick:
</t>
        </r>
        <r>
          <rPr>
            <sz val="9"/>
            <color indexed="8"/>
            <rFont val="Tahoma"/>
            <family val="2"/>
          </rPr>
          <t xml:space="preserve">Weekend nights
</t>
        </r>
      </text>
    </comment>
    <comment ref="S47" authorId="1">
      <text>
        <r>
          <rPr>
            <b/>
            <sz val="9"/>
            <color indexed="8"/>
            <rFont val="Tahoma"/>
            <family val="2"/>
          </rPr>
          <t xml:space="preserve">Rick:
</t>
        </r>
        <r>
          <rPr>
            <sz val="9"/>
            <color indexed="8"/>
            <rFont val="Tahoma"/>
            <family val="2"/>
          </rPr>
          <t xml:space="preserve">Weekend nights
</t>
        </r>
      </text>
    </comment>
    <comment ref="S48" authorId="1">
      <text>
        <r>
          <rPr>
            <b/>
            <sz val="9"/>
            <color indexed="8"/>
            <rFont val="Tahoma"/>
            <family val="2"/>
          </rPr>
          <t xml:space="preserve">Rick:
</t>
        </r>
        <r>
          <rPr>
            <sz val="9"/>
            <color indexed="8"/>
            <rFont val="Tahoma"/>
            <family val="2"/>
          </rPr>
          <t xml:space="preserve">Weekend nights
</t>
        </r>
      </text>
    </comment>
    <comment ref="S49" authorId="1">
      <text>
        <r>
          <rPr>
            <b/>
            <sz val="9"/>
            <color indexed="8"/>
            <rFont val="Tahoma"/>
            <family val="2"/>
          </rPr>
          <t xml:space="preserve">Rick:
</t>
        </r>
        <r>
          <rPr>
            <sz val="9"/>
            <color indexed="8"/>
            <rFont val="Tahoma"/>
            <family val="2"/>
          </rPr>
          <t xml:space="preserve">Weekend nights
</t>
        </r>
      </text>
    </comment>
    <comment ref="S50" authorId="1">
      <text>
        <r>
          <rPr>
            <b/>
            <sz val="9"/>
            <color indexed="8"/>
            <rFont val="Tahoma"/>
            <family val="2"/>
          </rPr>
          <t xml:space="preserve">Rick:
</t>
        </r>
        <r>
          <rPr>
            <sz val="9"/>
            <color indexed="8"/>
            <rFont val="Tahoma"/>
            <family val="2"/>
          </rPr>
          <t xml:space="preserve">Weekend nights
</t>
        </r>
      </text>
    </comment>
    <comment ref="S51" authorId="1">
      <text>
        <r>
          <rPr>
            <b/>
            <sz val="9"/>
            <color indexed="8"/>
            <rFont val="Tahoma"/>
            <family val="2"/>
          </rPr>
          <t xml:space="preserve">Rick:
</t>
        </r>
        <r>
          <rPr>
            <sz val="9"/>
            <color indexed="8"/>
            <rFont val="Tahoma"/>
            <family val="2"/>
          </rPr>
          <t xml:space="preserve">Weekend nights
</t>
        </r>
      </text>
    </comment>
    <comment ref="S52" authorId="1">
      <text>
        <r>
          <rPr>
            <b/>
            <sz val="9"/>
            <color indexed="8"/>
            <rFont val="Tahoma"/>
            <family val="2"/>
          </rPr>
          <t xml:space="preserve">Rick:
</t>
        </r>
        <r>
          <rPr>
            <sz val="9"/>
            <color indexed="8"/>
            <rFont val="Tahoma"/>
            <family val="2"/>
          </rPr>
          <t xml:space="preserve">Weekend nights
</t>
        </r>
      </text>
    </comment>
    <comment ref="S53" authorId="1">
      <text>
        <r>
          <rPr>
            <b/>
            <sz val="9"/>
            <color indexed="8"/>
            <rFont val="Tahoma"/>
            <family val="2"/>
          </rPr>
          <t xml:space="preserve">Rick:
</t>
        </r>
        <r>
          <rPr>
            <sz val="9"/>
            <color indexed="8"/>
            <rFont val="Tahoma"/>
            <family val="2"/>
          </rPr>
          <t xml:space="preserve">Weekend nights
</t>
        </r>
      </text>
    </comment>
    <comment ref="S35" authorId="0">
      <text>
        <r>
          <rPr>
            <b/>
            <sz val="9"/>
            <rFont val="Tahoma"/>
            <family val="2"/>
          </rPr>
          <t>Rick:</t>
        </r>
        <r>
          <rPr>
            <sz val="9"/>
            <rFont val="Tahoma"/>
            <family val="2"/>
          </rPr>
          <t xml:space="preserve">
Computes extra weekend tax cost if Bonus Time.</t>
        </r>
      </text>
    </comment>
    <comment ref="Z14" authorId="0">
      <text>
        <r>
          <rPr>
            <b/>
            <sz val="9"/>
            <rFont val="Tahoma"/>
            <family val="2"/>
          </rPr>
          <t>Rick:</t>
        </r>
        <r>
          <rPr>
            <sz val="9"/>
            <rFont val="Tahoma"/>
            <family val="2"/>
          </rPr>
          <t xml:space="preserve">
Point cost including tax</t>
        </r>
      </text>
    </comment>
    <comment ref="AE14" authorId="0">
      <text>
        <r>
          <rPr>
            <b/>
            <sz val="9"/>
            <rFont val="Tahoma"/>
            <family val="2"/>
          </rPr>
          <t>Rick:</t>
        </r>
        <r>
          <rPr>
            <sz val="9"/>
            <rFont val="Tahoma"/>
            <family val="2"/>
          </rPr>
          <t xml:space="preserve">
Weekend</t>
        </r>
      </text>
    </comment>
    <comment ref="W35" authorId="0">
      <text>
        <r>
          <rPr>
            <b/>
            <sz val="9"/>
            <rFont val="Tahoma"/>
            <family val="2"/>
          </rPr>
          <t>Rick:</t>
        </r>
        <r>
          <rPr>
            <sz val="9"/>
            <rFont val="Tahoma"/>
            <family val="2"/>
          </rPr>
          <t xml:space="preserve">
Computes extra weekend cost</t>
        </r>
      </text>
    </comment>
    <comment ref="X35" authorId="0">
      <text>
        <r>
          <rPr>
            <b/>
            <sz val="9"/>
            <rFont val="Tahoma"/>
            <family val="2"/>
          </rPr>
          <t>Rick:</t>
        </r>
        <r>
          <rPr>
            <sz val="9"/>
            <rFont val="Tahoma"/>
            <family val="2"/>
          </rPr>
          <t xml:space="preserve">
Computes extra weekend percentage
</t>
        </r>
      </text>
    </comment>
    <comment ref="Z35" authorId="0">
      <text>
        <r>
          <rPr>
            <b/>
            <sz val="9"/>
            <rFont val="Tahoma"/>
            <family val="2"/>
          </rPr>
          <t>Rick:</t>
        </r>
        <r>
          <rPr>
            <sz val="9"/>
            <rFont val="Tahoma"/>
            <family val="2"/>
          </rPr>
          <t xml:space="preserve">
Computes our base cost for over 60 day rental.  Does not include any overhead, labor, etc.  Marginal cost adjusted to include $20 reservation fee and $25 for labor.  No overhead costs included here.</t>
        </r>
      </text>
    </comment>
    <comment ref="S14" authorId="1">
      <text>
        <r>
          <rPr>
            <b/>
            <sz val="9"/>
            <color indexed="8"/>
            <rFont val="Tahoma"/>
            <family val="2"/>
          </rPr>
          <t xml:space="preserve">Rick:
</t>
        </r>
        <r>
          <rPr>
            <sz val="9"/>
            <color indexed="8"/>
            <rFont val="Tahoma"/>
            <family val="2"/>
          </rPr>
          <t xml:space="preserve">Weekend nights
</t>
        </r>
      </text>
    </comment>
    <comment ref="S15" authorId="1">
      <text>
        <r>
          <rPr>
            <b/>
            <sz val="9"/>
            <color indexed="8"/>
            <rFont val="Tahoma"/>
            <family val="2"/>
          </rPr>
          <t xml:space="preserve">Rick:
</t>
        </r>
        <r>
          <rPr>
            <sz val="9"/>
            <color indexed="8"/>
            <rFont val="Tahoma"/>
            <family val="2"/>
          </rPr>
          <t xml:space="preserve">Weekend nights
</t>
        </r>
      </text>
    </comment>
    <comment ref="S16" authorId="1">
      <text>
        <r>
          <rPr>
            <b/>
            <sz val="9"/>
            <color indexed="8"/>
            <rFont val="Tahoma"/>
            <family val="2"/>
          </rPr>
          <t xml:space="preserve">Rick:
</t>
        </r>
        <r>
          <rPr>
            <sz val="9"/>
            <color indexed="8"/>
            <rFont val="Tahoma"/>
            <family val="2"/>
          </rPr>
          <t xml:space="preserve">Weekend nights
</t>
        </r>
      </text>
    </comment>
    <comment ref="S17" authorId="1">
      <text>
        <r>
          <rPr>
            <b/>
            <sz val="9"/>
            <color indexed="8"/>
            <rFont val="Tahoma"/>
            <family val="2"/>
          </rPr>
          <t xml:space="preserve">Rick:
</t>
        </r>
        <r>
          <rPr>
            <sz val="9"/>
            <color indexed="8"/>
            <rFont val="Tahoma"/>
            <family val="2"/>
          </rPr>
          <t xml:space="preserve">Weekend nights
</t>
        </r>
      </text>
    </comment>
    <comment ref="S18" authorId="1">
      <text>
        <r>
          <rPr>
            <b/>
            <sz val="9"/>
            <color indexed="8"/>
            <rFont val="Tahoma"/>
            <family val="2"/>
          </rPr>
          <t xml:space="preserve">Rick:
</t>
        </r>
        <r>
          <rPr>
            <sz val="9"/>
            <color indexed="8"/>
            <rFont val="Tahoma"/>
            <family val="2"/>
          </rPr>
          <t xml:space="preserve">Weekend nights
</t>
        </r>
      </text>
    </comment>
    <comment ref="S19" authorId="1">
      <text>
        <r>
          <rPr>
            <b/>
            <sz val="9"/>
            <color indexed="8"/>
            <rFont val="Tahoma"/>
            <family val="2"/>
          </rPr>
          <t xml:space="preserve">Rick:
</t>
        </r>
        <r>
          <rPr>
            <sz val="9"/>
            <color indexed="8"/>
            <rFont val="Tahoma"/>
            <family val="2"/>
          </rPr>
          <t xml:space="preserve">Weekend nights
</t>
        </r>
      </text>
    </comment>
    <comment ref="S20" authorId="1">
      <text>
        <r>
          <rPr>
            <b/>
            <sz val="9"/>
            <color indexed="8"/>
            <rFont val="Tahoma"/>
            <family val="2"/>
          </rPr>
          <t xml:space="preserve">Rick:
</t>
        </r>
        <r>
          <rPr>
            <sz val="9"/>
            <color indexed="8"/>
            <rFont val="Tahoma"/>
            <family val="2"/>
          </rPr>
          <t xml:space="preserve">Weekend nights
</t>
        </r>
      </text>
    </comment>
    <comment ref="S21" authorId="1">
      <text>
        <r>
          <rPr>
            <b/>
            <sz val="9"/>
            <color indexed="8"/>
            <rFont val="Tahoma"/>
            <family val="2"/>
          </rPr>
          <t xml:space="preserve">Rick:
</t>
        </r>
        <r>
          <rPr>
            <sz val="9"/>
            <color indexed="8"/>
            <rFont val="Tahoma"/>
            <family val="2"/>
          </rPr>
          <t xml:space="preserve">Weekend nights
</t>
        </r>
      </text>
    </comment>
    <comment ref="S22" authorId="1">
      <text>
        <r>
          <rPr>
            <b/>
            <sz val="9"/>
            <color indexed="8"/>
            <rFont val="Tahoma"/>
            <family val="2"/>
          </rPr>
          <t xml:space="preserve">Rick:
</t>
        </r>
        <r>
          <rPr>
            <sz val="9"/>
            <color indexed="8"/>
            <rFont val="Tahoma"/>
            <family val="2"/>
          </rPr>
          <t xml:space="preserve">Weekend nights
</t>
        </r>
      </text>
    </comment>
    <comment ref="S23" authorId="1">
      <text>
        <r>
          <rPr>
            <b/>
            <sz val="9"/>
            <color indexed="8"/>
            <rFont val="Tahoma"/>
            <family val="2"/>
          </rPr>
          <t xml:space="preserve">Rick:
</t>
        </r>
        <r>
          <rPr>
            <sz val="9"/>
            <color indexed="8"/>
            <rFont val="Tahoma"/>
            <family val="2"/>
          </rPr>
          <t xml:space="preserve">Weekend nights
</t>
        </r>
      </text>
    </comment>
    <comment ref="S24" authorId="1">
      <text>
        <r>
          <rPr>
            <b/>
            <sz val="9"/>
            <color indexed="8"/>
            <rFont val="Tahoma"/>
            <family val="2"/>
          </rPr>
          <t xml:space="preserve">Rick:
</t>
        </r>
        <r>
          <rPr>
            <sz val="9"/>
            <color indexed="8"/>
            <rFont val="Tahoma"/>
            <family val="2"/>
          </rPr>
          <t xml:space="preserve">Weekend nights
</t>
        </r>
      </text>
    </comment>
    <comment ref="S25" authorId="1">
      <text>
        <r>
          <rPr>
            <b/>
            <sz val="9"/>
            <color indexed="8"/>
            <rFont val="Tahoma"/>
            <family val="2"/>
          </rPr>
          <t xml:space="preserve">Rick:
</t>
        </r>
        <r>
          <rPr>
            <sz val="9"/>
            <color indexed="8"/>
            <rFont val="Tahoma"/>
            <family val="2"/>
          </rPr>
          <t xml:space="preserve">Weekend nights
</t>
        </r>
      </text>
    </comment>
    <comment ref="S26" authorId="1">
      <text>
        <r>
          <rPr>
            <b/>
            <sz val="9"/>
            <color indexed="8"/>
            <rFont val="Tahoma"/>
            <family val="2"/>
          </rPr>
          <t xml:space="preserve">Rick:
</t>
        </r>
        <r>
          <rPr>
            <sz val="9"/>
            <color indexed="8"/>
            <rFont val="Tahoma"/>
            <family val="2"/>
          </rPr>
          <t xml:space="preserve">Weekend nights
</t>
        </r>
      </text>
    </comment>
    <comment ref="S27" authorId="1">
      <text>
        <r>
          <rPr>
            <b/>
            <sz val="9"/>
            <color indexed="8"/>
            <rFont val="Tahoma"/>
            <family val="2"/>
          </rPr>
          <t xml:space="preserve">Rick:
</t>
        </r>
        <r>
          <rPr>
            <sz val="9"/>
            <color indexed="8"/>
            <rFont val="Tahoma"/>
            <family val="2"/>
          </rPr>
          <t xml:space="preserve">Weekend nights
</t>
        </r>
      </text>
    </comment>
    <comment ref="S28" authorId="1">
      <text>
        <r>
          <rPr>
            <b/>
            <sz val="9"/>
            <color indexed="8"/>
            <rFont val="Tahoma"/>
            <family val="2"/>
          </rPr>
          <t xml:space="preserve">Rick:
</t>
        </r>
        <r>
          <rPr>
            <sz val="9"/>
            <color indexed="8"/>
            <rFont val="Tahoma"/>
            <family val="2"/>
          </rPr>
          <t xml:space="preserve">Weekend nights
</t>
        </r>
      </text>
    </comment>
    <comment ref="S29" authorId="1">
      <text>
        <r>
          <rPr>
            <b/>
            <sz val="9"/>
            <color indexed="8"/>
            <rFont val="Tahoma"/>
            <family val="2"/>
          </rPr>
          <t xml:space="preserve">Rick:
</t>
        </r>
        <r>
          <rPr>
            <sz val="9"/>
            <color indexed="8"/>
            <rFont val="Tahoma"/>
            <family val="2"/>
          </rPr>
          <t xml:space="preserve">Weekend nights
</t>
        </r>
      </text>
    </comment>
    <comment ref="S30" authorId="1">
      <text>
        <r>
          <rPr>
            <b/>
            <sz val="9"/>
            <color indexed="8"/>
            <rFont val="Tahoma"/>
            <family val="2"/>
          </rPr>
          <t xml:space="preserve">Rick:
</t>
        </r>
        <r>
          <rPr>
            <sz val="9"/>
            <color indexed="8"/>
            <rFont val="Tahoma"/>
            <family val="2"/>
          </rPr>
          <t xml:space="preserve">Weekend nights
</t>
        </r>
      </text>
    </comment>
  </commentList>
</comments>
</file>

<file path=xl/sharedStrings.xml><?xml version="1.0" encoding="utf-8"?>
<sst xmlns="http://schemas.openxmlformats.org/spreadsheetml/2006/main" count="79" uniqueCount="64">
  <si>
    <t>For your comparison</t>
  </si>
  <si>
    <t>DATE COMPUTER</t>
  </si>
  <si>
    <t>Low rate multiplier</t>
  </si>
  <si>
    <t>Weekend Calculator</t>
  </si>
  <si>
    <t>Days from booking to arrival</t>
  </si>
  <si>
    <t>Arrival Date</t>
  </si>
  <si>
    <t xml:space="preserve"> </t>
  </si>
  <si>
    <t>From</t>
  </si>
  <si>
    <t>To</t>
  </si>
  <si>
    <t>Over 60</t>
  </si>
  <si>
    <t>Under 60</t>
  </si>
  <si>
    <t>Departure Date</t>
  </si>
  <si>
    <t>Lowest rate available in low season</t>
  </si>
  <si>
    <t>Number of nights</t>
  </si>
  <si>
    <t>Normal discounted rate (High Season)</t>
  </si>
  <si>
    <t>40-60</t>
  </si>
  <si>
    <t>Nightly cost</t>
  </si>
  <si>
    <t>Today is</t>
  </si>
  <si>
    <t>days from your reservation.</t>
  </si>
  <si>
    <t>Subtotal</t>
  </si>
  <si>
    <t>Cleaning Reservation Fee</t>
  </si>
  <si>
    <t xml:space="preserve">Bookings 60 days or less in advance </t>
  </si>
  <si>
    <t>Total including all taxes</t>
  </si>
  <si>
    <t>Over 60 days in advance, your rate is</t>
  </si>
  <si>
    <t>Discount Code</t>
  </si>
  <si>
    <t>LRA</t>
  </si>
  <si>
    <t>Name + Bedrooms</t>
  </si>
  <si>
    <t>Homestead Farms 2 Bedroom</t>
  </si>
  <si>
    <t>Orig Rate</t>
  </si>
  <si>
    <t>Day</t>
  </si>
  <si>
    <t>End</t>
  </si>
  <si>
    <t>Rate 1</t>
  </si>
  <si>
    <t>Rate 2</t>
  </si>
  <si>
    <t>Rate 3</t>
  </si>
  <si>
    <t>Rate 4</t>
  </si>
  <si>
    <t>Multiplier</t>
  </si>
  <si>
    <t>CL ADS</t>
  </si>
  <si>
    <t>R2</t>
  </si>
  <si>
    <t>Weekend</t>
  </si>
  <si>
    <t>$/point</t>
  </si>
  <si>
    <t>Tax</t>
  </si>
  <si>
    <t>P</t>
  </si>
  <si>
    <t>The $20 change fee is negligible compared to the savings.  We pay less for units we book closer to the arrival date and our profit is actually higher so it’s a win for both of us.</t>
  </si>
  <si>
    <t>Enter your arrival and departure dates (example 2/24), if 2017 (example 2/24/2017)</t>
  </si>
  <si>
    <t>10 month rate</t>
  </si>
  <si>
    <t>60+</t>
  </si>
  <si>
    <t>R/S</t>
  </si>
  <si>
    <t>No other fees</t>
  </si>
  <si>
    <t>Free Internet &amp; Parking</t>
  </si>
  <si>
    <t>R</t>
  </si>
  <si>
    <t xml:space="preserve">When we book units over 60 days in advance, we attempt to reduce the rate if a second unit becomes available at 60 days in advance or if other special pricing is offered to us. .  Anytime up to 30 days prior to booking, we can cancel the original reservation.  </t>
  </si>
  <si>
    <t>GUARANTEED LOWEST PRICING:  The above price is guaranteed lowest up to the day of arrival.  If you booked with us, and find comparable lodging for less, we will take 5% off of that price and give you a refund.</t>
  </si>
  <si>
    <t xml:space="preserve">The only room we have left is modified for a wheelchair.  The main difference is that the bathtub has been replaced with a large shower which is actually an asset if you don't need the bathtub.  </t>
  </si>
  <si>
    <t>There may be other small modifications.  At times the cabinet doors under the sinks are removed for access.</t>
  </si>
  <si>
    <t>LP</t>
  </si>
  <si>
    <t>LR</t>
  </si>
  <si>
    <t>MinLP</t>
  </si>
  <si>
    <t>v 2.1 m8 a12</t>
  </si>
  <si>
    <t>LLP</t>
  </si>
  <si>
    <t>LLR</t>
  </si>
  <si>
    <t>Discounted Total</t>
  </si>
  <si>
    <t>LR/LP</t>
  </si>
  <si>
    <t>No cancel</t>
  </si>
  <si>
    <t>This rental requires a unit change.  We've offered you a discount to help compensate you for any possible inconvenience.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</si>
</sst>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0;[Red]\$#,##0"/>
    <numFmt numFmtId="167" formatCode="m/d/yy;@"/>
    <numFmt numFmtId="168" formatCode="mm/dd/yy"/>
    <numFmt numFmtId="169" formatCode="0.0"/>
    <numFmt numFmtId="170" formatCode="&quot;$&quot;#,##0"/>
    <numFmt numFmtId="171" formatCode="_(&quot;$&quot;* #,##0_);_(&quot;$&quot;* \(#,##0\);_(&quot;$&quot;* &quot;-&quot;??_);_(@_)"/>
    <numFmt numFmtId="172" formatCode="\$#,##0"/>
    <numFmt numFmtId="173" formatCode="_(* #,##0_);_(* \(#,##0\);_(* &quot;-&quot;??_);_(@_)"/>
    <numFmt numFmtId="174" formatCode="m/d;@"/>
  </numFmts>
  <fonts count="55">
    <font>
      <sz val="10"/>
      <name val="Arial"/>
      <family val="2"/>
    </font>
    <font>
      <u val="single"/>
      <sz val="10"/>
      <color indexed="12"/>
      <name val="Arial"/>
      <family val="2"/>
    </font>
    <font>
      <b/>
      <u val="single"/>
      <sz val="18"/>
      <color indexed="12"/>
      <name val="Arial"/>
      <family val="2"/>
    </font>
    <font>
      <b/>
      <sz val="16"/>
      <name val="Arial"/>
      <family val="2"/>
    </font>
    <font>
      <b/>
      <sz val="12"/>
      <name val="Arial"/>
      <family val="2"/>
    </font>
    <font>
      <sz val="14"/>
      <name val="Arial"/>
      <family val="2"/>
    </font>
    <font>
      <sz val="12"/>
      <name val="Arial"/>
      <family val="2"/>
    </font>
    <font>
      <b/>
      <sz val="10"/>
      <name val="Arial"/>
      <family val="2"/>
    </font>
    <font>
      <b/>
      <sz val="9"/>
      <color indexed="8"/>
      <name val="Tahoma"/>
      <family val="2"/>
    </font>
    <font>
      <sz val="9"/>
      <color indexed="8"/>
      <name val="Tahoma"/>
      <family val="2"/>
    </font>
    <font>
      <u val="single"/>
      <sz val="10"/>
      <color indexed="36"/>
      <name val="Arial"/>
      <family val="2"/>
    </font>
    <font>
      <b/>
      <sz val="9"/>
      <name val="Tahoma"/>
      <family val="2"/>
    </font>
    <font>
      <sz val="9"/>
      <name val="Tahoma"/>
      <family val="2"/>
    </font>
    <font>
      <sz val="11"/>
      <name val="Arial"/>
      <family val="2"/>
    </font>
    <font>
      <b/>
      <i/>
      <sz val="11"/>
      <color indexed="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92D05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00FF00"/>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lightGray">
        <fgColor indexed="27"/>
        <bgColor indexed="9"/>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ck">
        <color indexed="8"/>
      </left>
      <right>
        <color indexed="63"/>
      </right>
      <top>
        <color indexed="63"/>
      </top>
      <bottom>
        <color indexed="63"/>
      </bottom>
    </border>
    <border>
      <left style="thick">
        <color indexed="8"/>
      </left>
      <right>
        <color indexed="63"/>
      </right>
      <top style="medium">
        <color indexed="8"/>
      </top>
      <bottom>
        <color indexed="63"/>
      </bottom>
    </border>
    <border>
      <left>
        <color indexed="63"/>
      </left>
      <right style="thick">
        <color indexed="8"/>
      </right>
      <top style="medium">
        <color indexed="8"/>
      </top>
      <bottom>
        <color indexed="63"/>
      </bottom>
    </border>
    <border>
      <left>
        <color indexed="63"/>
      </left>
      <right style="thick">
        <color indexed="8"/>
      </right>
      <top>
        <color indexed="63"/>
      </top>
      <bottom>
        <color indexed="63"/>
      </bottom>
    </border>
    <border>
      <left style="medium">
        <color indexed="8"/>
      </left>
      <right style="medium">
        <color indexed="8"/>
      </right>
      <top style="medium">
        <color indexed="8"/>
      </top>
      <bottom>
        <color indexed="63"/>
      </bottom>
    </border>
    <border>
      <left style="thick"/>
      <right>
        <color indexed="63"/>
      </right>
      <top>
        <color indexed="63"/>
      </top>
      <bottom style="thick"/>
    </border>
    <border>
      <left>
        <color indexed="63"/>
      </left>
      <right>
        <color indexed="63"/>
      </right>
      <top>
        <color indexed="63"/>
      </top>
      <bottom style="thick"/>
    </border>
    <border>
      <left style="thick">
        <color indexed="8"/>
      </left>
      <right style="thick">
        <color indexed="8"/>
      </right>
      <top style="medium">
        <color indexed="8"/>
      </top>
      <bottom style="thick">
        <color indexed="8"/>
      </bottom>
    </border>
    <border>
      <left style="thick">
        <color indexed="8"/>
      </left>
      <right style="thick">
        <color indexed="8"/>
      </right>
      <top style="thick">
        <color indexed="8"/>
      </top>
      <bottom style="thick">
        <color indexed="8"/>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ck"/>
      <right>
        <color indexed="63"/>
      </right>
      <top>
        <color indexed="63"/>
      </top>
      <bottom>
        <color indexed="63"/>
      </bottom>
    </border>
    <border>
      <left style="thick"/>
      <right>
        <color indexed="63"/>
      </right>
      <top style="medium"/>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n"/>
    </border>
    <border>
      <left style="thick"/>
      <right>
        <color indexed="63"/>
      </right>
      <top>
        <color indexed="63"/>
      </top>
      <bottom style="medium"/>
    </border>
    <border>
      <left style="thick">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color indexed="63"/>
      </right>
      <top style="medium">
        <color indexed="8"/>
      </top>
      <bottom style="thick">
        <color indexed="8"/>
      </bottom>
    </border>
    <border>
      <left style="thick">
        <color indexed="8"/>
      </left>
      <right style="medium">
        <color indexed="8"/>
      </right>
      <top style="medium">
        <color indexed="8"/>
      </top>
      <bottom>
        <color indexed="63"/>
      </bottom>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thick"/>
      <top style="thick">
        <color indexed="8"/>
      </top>
      <bottom style="medium">
        <color indexed="8"/>
      </bottom>
    </border>
    <border>
      <left style="thick">
        <color indexed="8"/>
      </left>
      <right style="thick">
        <color indexed="8"/>
      </right>
      <top style="thick">
        <color indexed="8"/>
      </top>
      <bottom style="medium">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5">
    <xf numFmtId="0" fontId="0" fillId="0" borderId="0" xfId="0" applyAlignment="1">
      <alignment/>
    </xf>
    <xf numFmtId="0" fontId="0" fillId="0" borderId="0" xfId="0" applyFont="1" applyAlignment="1" applyProtection="1">
      <alignment/>
      <protection hidden="1"/>
    </xf>
    <xf numFmtId="9" fontId="0" fillId="0" borderId="0" xfId="0" applyNumberFormat="1" applyAlignment="1" applyProtection="1">
      <alignment/>
      <protection hidden="1"/>
    </xf>
    <xf numFmtId="15" fontId="0" fillId="0" borderId="10" xfId="0" applyNumberFormat="1" applyBorder="1" applyAlignment="1" applyProtection="1">
      <alignment/>
      <protection hidden="1"/>
    </xf>
    <xf numFmtId="15" fontId="0" fillId="0" borderId="11" xfId="0" applyNumberFormat="1" applyBorder="1" applyAlignment="1" applyProtection="1">
      <alignment/>
      <protection hidden="1"/>
    </xf>
    <xf numFmtId="1" fontId="0" fillId="0" borderId="11" xfId="0" applyNumberFormat="1"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 fontId="0" fillId="0" borderId="0" xfId="0" applyNumberFormat="1" applyBorder="1" applyAlignment="1" applyProtection="1">
      <alignment/>
      <protection hidden="1"/>
    </xf>
    <xf numFmtId="15" fontId="0" fillId="0" borderId="13" xfId="0" applyNumberFormat="1" applyBorder="1" applyAlignment="1" applyProtection="1">
      <alignment/>
      <protection hidden="1"/>
    </xf>
    <xf numFmtId="15" fontId="0" fillId="0" borderId="0" xfId="0" applyNumberFormat="1" applyBorder="1" applyAlignment="1" applyProtection="1">
      <alignment/>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167" fontId="0" fillId="0" borderId="14" xfId="0" applyNumberFormat="1" applyBorder="1" applyAlignment="1" applyProtection="1">
      <alignment/>
      <protection hidden="1"/>
    </xf>
    <xf numFmtId="1" fontId="0" fillId="0" borderId="0" xfId="0" applyNumberFormat="1" applyFill="1"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1" fontId="0" fillId="0" borderId="16" xfId="0" applyNumberFormat="1" applyBorder="1" applyAlignment="1" applyProtection="1">
      <alignment/>
      <protection hidden="1"/>
    </xf>
    <xf numFmtId="0" fontId="0" fillId="0" borderId="17" xfId="0" applyBorder="1" applyAlignment="1" applyProtection="1">
      <alignment/>
      <protection hidden="1"/>
    </xf>
    <xf numFmtId="14" fontId="0" fillId="0" borderId="17" xfId="0" applyNumberFormat="1" applyBorder="1" applyAlignment="1" applyProtection="1">
      <alignment/>
      <protection hidden="1"/>
    </xf>
    <xf numFmtId="14" fontId="0" fillId="0" borderId="0" xfId="0" applyNumberFormat="1" applyAlignment="1" applyProtection="1">
      <alignment/>
      <protection hidden="1"/>
    </xf>
    <xf numFmtId="0" fontId="0" fillId="0" borderId="10" xfId="0" applyBorder="1" applyAlignment="1" applyProtection="1">
      <alignment/>
      <protection hidden="1"/>
    </xf>
    <xf numFmtId="0" fontId="0" fillId="33" borderId="0" xfId="0" applyFont="1" applyFill="1" applyAlignment="1" applyProtection="1">
      <alignment/>
      <protection hidden="1"/>
    </xf>
    <xf numFmtId="16" fontId="0" fillId="0" borderId="0" xfId="0" applyNumberFormat="1" applyFont="1" applyAlignment="1" applyProtection="1">
      <alignment/>
      <protection hidden="1"/>
    </xf>
    <xf numFmtId="1" fontId="0" fillId="33" borderId="0" xfId="0" applyNumberFormat="1" applyFont="1" applyFill="1" applyAlignment="1" applyProtection="1">
      <alignment/>
      <protection hidden="1"/>
    </xf>
    <xf numFmtId="1" fontId="0" fillId="0" borderId="0" xfId="0" applyNumberFormat="1" applyAlignment="1" applyProtection="1">
      <alignment/>
      <protection hidden="1"/>
    </xf>
    <xf numFmtId="2" fontId="0" fillId="0" borderId="0" xfId="0" applyNumberFormat="1" applyAlignment="1" applyProtection="1">
      <alignment/>
      <protection hidden="1"/>
    </xf>
    <xf numFmtId="0" fontId="0" fillId="33" borderId="0" xfId="0" applyFill="1" applyAlignment="1">
      <alignment/>
    </xf>
    <xf numFmtId="9" fontId="0" fillId="0" borderId="0" xfId="59" applyFont="1" applyFill="1" applyBorder="1" applyAlignment="1" applyProtection="1">
      <alignment/>
      <protection hidden="1"/>
    </xf>
    <xf numFmtId="1" fontId="0" fillId="34" borderId="0" xfId="0" applyNumberFormat="1" applyFill="1" applyAlignment="1" applyProtection="1">
      <alignment/>
      <protection hidden="1"/>
    </xf>
    <xf numFmtId="0" fontId="0" fillId="34" borderId="0" xfId="0" applyFont="1" applyFill="1" applyAlignment="1" applyProtection="1">
      <alignment/>
      <protection hidden="1"/>
    </xf>
    <xf numFmtId="0" fontId="3" fillId="35" borderId="18" xfId="0" applyFont="1" applyFill="1" applyBorder="1" applyAlignment="1" applyProtection="1">
      <alignment horizontal="center"/>
      <protection hidden="1" locked="0"/>
    </xf>
    <xf numFmtId="0" fontId="0" fillId="0" borderId="18" xfId="0" applyBorder="1" applyAlignment="1" applyProtection="1">
      <alignment/>
      <protection hidden="1" locked="0"/>
    </xf>
    <xf numFmtId="0" fontId="0" fillId="0" borderId="0" xfId="0" applyAlignment="1" applyProtection="1">
      <alignment/>
      <protection hidden="1" locked="0"/>
    </xf>
    <xf numFmtId="14" fontId="6" fillId="0" borderId="19" xfId="0" applyNumberFormat="1" applyFont="1" applyBorder="1" applyAlignment="1" applyProtection="1">
      <alignment/>
      <protection hidden="1" locked="0"/>
    </xf>
    <xf numFmtId="0" fontId="0" fillId="0" borderId="20" xfId="0" applyBorder="1" applyAlignment="1" applyProtection="1">
      <alignment/>
      <protection hidden="1" locked="0"/>
    </xf>
    <xf numFmtId="0" fontId="0" fillId="0" borderId="0" xfId="0" applyBorder="1" applyAlignment="1" applyProtection="1">
      <alignment/>
      <protection hidden="1" locked="0"/>
    </xf>
    <xf numFmtId="165" fontId="0" fillId="0" borderId="18" xfId="44" applyNumberFormat="1" applyFont="1" applyFill="1" applyBorder="1" applyAlignment="1" applyProtection="1">
      <alignment/>
      <protection hidden="1" locked="0"/>
    </xf>
    <xf numFmtId="9" fontId="0" fillId="0" borderId="0" xfId="0" applyNumberFormat="1" applyAlignment="1" applyProtection="1">
      <alignment/>
      <protection hidden="1" locked="0"/>
    </xf>
    <xf numFmtId="1" fontId="0" fillId="0" borderId="0" xfId="0" applyNumberFormat="1" applyAlignment="1" applyProtection="1">
      <alignment/>
      <protection hidden="1" locked="0"/>
    </xf>
    <xf numFmtId="14" fontId="6" fillId="0" borderId="18" xfId="0" applyNumberFormat="1" applyFont="1" applyBorder="1" applyAlignment="1" applyProtection="1">
      <alignment/>
      <protection hidden="1" locked="0"/>
    </xf>
    <xf numFmtId="0" fontId="0" fillId="0" borderId="21" xfId="0" applyBorder="1" applyAlignment="1" applyProtection="1">
      <alignment/>
      <protection hidden="1" locked="0"/>
    </xf>
    <xf numFmtId="165" fontId="0" fillId="0" borderId="0" xfId="44" applyNumberFormat="1" applyFont="1" applyFill="1" applyBorder="1" applyAlignment="1" applyProtection="1">
      <alignment/>
      <protection hidden="1" locked="0"/>
    </xf>
    <xf numFmtId="1" fontId="0" fillId="0" borderId="0" xfId="0" applyNumberFormat="1" applyBorder="1" applyAlignment="1" applyProtection="1">
      <alignment horizontal="center"/>
      <protection hidden="1" locked="0"/>
    </xf>
    <xf numFmtId="0" fontId="0" fillId="0" borderId="21" xfId="0" applyBorder="1" applyAlignment="1" applyProtection="1">
      <alignment horizontal="center"/>
      <protection hidden="1" locked="0"/>
    </xf>
    <xf numFmtId="1" fontId="7" fillId="0" borderId="11" xfId="0" applyNumberFormat="1" applyFont="1" applyBorder="1" applyAlignment="1" applyProtection="1">
      <alignment horizontal="center"/>
      <protection hidden="1" locked="0"/>
    </xf>
    <xf numFmtId="0" fontId="7" fillId="0" borderId="0" xfId="0" applyFont="1" applyAlignment="1" applyProtection="1">
      <alignment horizontal="center"/>
      <protection hidden="1" locked="0"/>
    </xf>
    <xf numFmtId="165" fontId="3" fillId="0" borderId="0" xfId="44" applyNumberFormat="1" applyFont="1" applyFill="1" applyBorder="1" applyAlignment="1" applyProtection="1">
      <alignment/>
      <protection hidden="1" locked="0"/>
    </xf>
    <xf numFmtId="167" fontId="0" fillId="0" borderId="22" xfId="0" applyNumberFormat="1" applyBorder="1" applyAlignment="1" applyProtection="1">
      <alignment/>
      <protection hidden="1"/>
    </xf>
    <xf numFmtId="0" fontId="0" fillId="36" borderId="0" xfId="0" applyFill="1" applyAlignment="1">
      <alignment/>
    </xf>
    <xf numFmtId="1" fontId="0" fillId="37" borderId="0" xfId="0" applyNumberFormat="1" applyFill="1" applyBorder="1" applyAlignment="1" applyProtection="1">
      <alignment/>
      <protection hidden="1"/>
    </xf>
    <xf numFmtId="0" fontId="0" fillId="36" borderId="0" xfId="0" applyNumberFormat="1" applyFill="1" applyAlignment="1" applyProtection="1">
      <alignment/>
      <protection hidden="1"/>
    </xf>
    <xf numFmtId="0" fontId="0" fillId="0" borderId="0" xfId="0" applyFill="1" applyAlignment="1" applyProtection="1">
      <alignment horizontal="center"/>
      <protection hidden="1" locked="0"/>
    </xf>
    <xf numFmtId="0" fontId="0" fillId="0" borderId="0" xfId="0" applyFill="1" applyAlignment="1" applyProtection="1">
      <alignment/>
      <protection hidden="1" locked="0"/>
    </xf>
    <xf numFmtId="9" fontId="0" fillId="0" borderId="0" xfId="0" applyNumberFormat="1" applyFill="1" applyAlignment="1" applyProtection="1">
      <alignment/>
      <protection hidden="1" locked="0"/>
    </xf>
    <xf numFmtId="1" fontId="0" fillId="0" borderId="0" xfId="0" applyNumberFormat="1" applyFill="1" applyAlignment="1" applyProtection="1">
      <alignment/>
      <protection hidden="1" locked="0"/>
    </xf>
    <xf numFmtId="0" fontId="0" fillId="0" borderId="0" xfId="0" applyFill="1" applyAlignment="1">
      <alignment/>
    </xf>
    <xf numFmtId="1" fontId="0" fillId="0" borderId="0" xfId="0" applyNumberFormat="1" applyFill="1" applyAlignment="1">
      <alignment/>
    </xf>
    <xf numFmtId="0" fontId="0" fillId="0" borderId="0" xfId="0" applyNumberFormat="1" applyFill="1" applyAlignment="1">
      <alignment/>
    </xf>
    <xf numFmtId="0" fontId="0" fillId="0" borderId="0" xfId="0" applyFill="1" applyAlignment="1" applyProtection="1">
      <alignment/>
      <protection hidden="1"/>
    </xf>
    <xf numFmtId="1" fontId="0" fillId="0" borderId="0" xfId="0" applyNumberFormat="1" applyFont="1" applyAlignment="1" applyProtection="1">
      <alignment/>
      <protection hidden="1"/>
    </xf>
    <xf numFmtId="15" fontId="0" fillId="38" borderId="13" xfId="0" applyNumberFormat="1" applyFill="1" applyBorder="1" applyAlignment="1" applyProtection="1">
      <alignment/>
      <protection hidden="1"/>
    </xf>
    <xf numFmtId="14" fontId="0" fillId="0" borderId="0" xfId="0" applyNumberFormat="1" applyAlignment="1" applyProtection="1">
      <alignment/>
      <protection hidden="1" locked="0"/>
    </xf>
    <xf numFmtId="165" fontId="6" fillId="0" borderId="0" xfId="44" applyNumberFormat="1" applyFont="1" applyFill="1" applyBorder="1" applyAlignment="1" applyProtection="1">
      <alignment/>
      <protection hidden="1" locked="0"/>
    </xf>
    <xf numFmtId="14" fontId="4" fillId="39" borderId="23" xfId="0" applyNumberFormat="1" applyFont="1" applyFill="1" applyBorder="1" applyAlignment="1" applyProtection="1">
      <alignment/>
      <protection hidden="1" locked="0"/>
    </xf>
    <xf numFmtId="171" fontId="3" fillId="39" borderId="24" xfId="44" applyNumberFormat="1" applyFont="1" applyFill="1" applyBorder="1" applyAlignment="1" applyProtection="1">
      <alignment/>
      <protection hidden="1" locked="0"/>
    </xf>
    <xf numFmtId="0" fontId="0" fillId="0" borderId="0" xfId="0" applyFont="1" applyAlignment="1" applyProtection="1">
      <alignment wrapText="1"/>
      <protection hidden="1" locked="0"/>
    </xf>
    <xf numFmtId="0" fontId="0" fillId="0" borderId="0" xfId="0" applyBorder="1" applyAlignment="1">
      <alignment/>
    </xf>
    <xf numFmtId="14" fontId="0" fillId="7" borderId="25" xfId="0" applyNumberFormat="1" applyFill="1" applyBorder="1" applyAlignment="1" applyProtection="1">
      <alignment/>
      <protection hidden="1" locked="0"/>
    </xf>
    <xf numFmtId="14" fontId="0" fillId="7" borderId="26" xfId="0" applyNumberFormat="1" applyFill="1" applyBorder="1" applyAlignment="1" applyProtection="1">
      <alignment/>
      <protection hidden="1" locked="0"/>
    </xf>
    <xf numFmtId="0" fontId="0" fillId="40" borderId="0" xfId="0" applyFont="1" applyFill="1" applyAlignment="1" applyProtection="1">
      <alignment/>
      <protection hidden="1" locked="0"/>
    </xf>
    <xf numFmtId="0" fontId="0" fillId="40" borderId="0" xfId="0" applyFill="1" applyAlignment="1" applyProtection="1">
      <alignment/>
      <protection hidden="1" locked="0"/>
    </xf>
    <xf numFmtId="0" fontId="0" fillId="0" borderId="0" xfId="0" applyAlignment="1" applyProtection="1">
      <alignment/>
      <protection hidden="1"/>
    </xf>
    <xf numFmtId="9" fontId="0" fillId="0" borderId="0" xfId="0" applyNumberFormat="1" applyFont="1" applyAlignment="1" applyProtection="1">
      <alignment/>
      <protection hidden="1"/>
    </xf>
    <xf numFmtId="173" fontId="0" fillId="0" borderId="0" xfId="42" applyNumberFormat="1" applyAlignment="1" applyProtection="1">
      <alignment/>
      <protection hidden="1"/>
    </xf>
    <xf numFmtId="1" fontId="0" fillId="0" borderId="27" xfId="0" applyNumberFormat="1" applyBorder="1" applyAlignment="1" applyProtection="1">
      <alignment/>
      <protection hidden="1"/>
    </xf>
    <xf numFmtId="1" fontId="0" fillId="41" borderId="0" xfId="0" applyNumberFormat="1" applyFill="1" applyBorder="1" applyAlignment="1" applyProtection="1">
      <alignment/>
      <protection hidden="1"/>
    </xf>
    <xf numFmtId="1" fontId="0" fillId="0" borderId="28" xfId="0" applyNumberFormat="1" applyBorder="1" applyAlignment="1" applyProtection="1">
      <alignment/>
      <protection hidden="1"/>
    </xf>
    <xf numFmtId="0" fontId="0" fillId="41" borderId="0" xfId="0" applyFill="1" applyBorder="1" applyAlignment="1" applyProtection="1">
      <alignment/>
      <protection hidden="1"/>
    </xf>
    <xf numFmtId="1" fontId="0" fillId="41" borderId="16" xfId="0" applyNumberFormat="1" applyFill="1" applyBorder="1" applyAlignment="1" applyProtection="1">
      <alignment/>
      <protection hidden="1"/>
    </xf>
    <xf numFmtId="0" fontId="0" fillId="41" borderId="0" xfId="0" applyFont="1" applyFill="1" applyAlignment="1" applyProtection="1">
      <alignment/>
      <protection hidden="1"/>
    </xf>
    <xf numFmtId="0" fontId="0" fillId="41" borderId="11" xfId="0" applyFill="1" applyBorder="1" applyAlignment="1" applyProtection="1">
      <alignment/>
      <protection hidden="1"/>
    </xf>
    <xf numFmtId="0" fontId="0" fillId="41" borderId="16" xfId="0" applyFill="1" applyBorder="1" applyAlignment="1" applyProtection="1">
      <alignment/>
      <protection hidden="1"/>
    </xf>
    <xf numFmtId="0" fontId="0" fillId="0" borderId="0" xfId="0" applyAlignment="1" applyProtection="1">
      <alignment horizontal="center" vertical="top" wrapText="1"/>
      <protection hidden="1" locked="0"/>
    </xf>
    <xf numFmtId="171" fontId="52" fillId="41" borderId="29" xfId="44" applyNumberFormat="1" applyFont="1" applyFill="1" applyBorder="1" applyAlignment="1" applyProtection="1">
      <alignment horizontal="center"/>
      <protection hidden="1" locked="0"/>
    </xf>
    <xf numFmtId="0" fontId="0" fillId="0" borderId="30" xfId="0" applyBorder="1" applyAlignment="1" applyProtection="1">
      <alignment/>
      <protection hidden="1" locked="0"/>
    </xf>
    <xf numFmtId="0" fontId="0" fillId="0" borderId="31" xfId="0" applyBorder="1" applyAlignment="1" applyProtection="1">
      <alignment/>
      <protection hidden="1" locked="0"/>
    </xf>
    <xf numFmtId="0" fontId="0" fillId="0" borderId="27" xfId="0" applyBorder="1" applyAlignment="1" applyProtection="1">
      <alignment/>
      <protection hidden="1" locked="0"/>
    </xf>
    <xf numFmtId="170" fontId="0" fillId="0" borderId="27" xfId="0" applyNumberFormat="1" applyBorder="1" applyAlignment="1" applyProtection="1">
      <alignment horizontal="center"/>
      <protection hidden="1" locked="0"/>
    </xf>
    <xf numFmtId="165" fontId="4" fillId="42" borderId="21" xfId="44" applyNumberFormat="1" applyFont="1" applyFill="1" applyBorder="1" applyAlignment="1" applyProtection="1">
      <alignment horizontal="center"/>
      <protection hidden="1" locked="0"/>
    </xf>
    <xf numFmtId="170" fontId="0" fillId="0" borderId="32" xfId="44" applyNumberFormat="1" applyFont="1" applyBorder="1" applyAlignment="1" applyProtection="1">
      <alignment horizontal="center"/>
      <protection hidden="1" locked="0"/>
    </xf>
    <xf numFmtId="0" fontId="0" fillId="0" borderId="33" xfId="0" applyBorder="1" applyAlignment="1" applyProtection="1">
      <alignment/>
      <protection hidden="1" locked="0"/>
    </xf>
    <xf numFmtId="0" fontId="0" fillId="0" borderId="23" xfId="0" applyFill="1" applyBorder="1" applyAlignment="1" applyProtection="1">
      <alignment/>
      <protection hidden="1" locked="0"/>
    </xf>
    <xf numFmtId="0" fontId="0" fillId="0" borderId="24" xfId="0" applyBorder="1" applyAlignment="1" applyProtection="1">
      <alignment/>
      <protection hidden="1" locked="0"/>
    </xf>
    <xf numFmtId="170" fontId="0" fillId="0" borderId="33" xfId="44" applyNumberFormat="1" applyFont="1" applyBorder="1" applyAlignment="1" applyProtection="1">
      <alignment horizontal="center"/>
      <protection hidden="1" locked="0"/>
    </xf>
    <xf numFmtId="0" fontId="53" fillId="0" borderId="0" xfId="0" applyFont="1" applyFill="1" applyBorder="1" applyAlignment="1" applyProtection="1">
      <alignment/>
      <protection hidden="1" locked="0"/>
    </xf>
    <xf numFmtId="0" fontId="53" fillId="0" borderId="0" xfId="0" applyFont="1" applyBorder="1" applyAlignment="1" applyProtection="1">
      <alignment/>
      <protection hidden="1" locked="0"/>
    </xf>
    <xf numFmtId="0" fontId="0" fillId="0" borderId="34" xfId="0" applyBorder="1" applyAlignment="1" applyProtection="1">
      <alignment/>
      <protection hidden="1" locked="0"/>
    </xf>
    <xf numFmtId="171" fontId="7" fillId="0" borderId="0" xfId="44" applyNumberFormat="1" applyFont="1" applyAlignment="1" applyProtection="1">
      <alignment/>
      <protection hidden="1" locked="0"/>
    </xf>
    <xf numFmtId="0" fontId="0" fillId="41" borderId="0" xfId="0" applyFill="1" applyAlignment="1" applyProtection="1">
      <alignment/>
      <protection hidden="1"/>
    </xf>
    <xf numFmtId="0" fontId="0" fillId="0" borderId="28" xfId="0" applyBorder="1" applyAlignment="1" applyProtection="1">
      <alignment/>
      <protection hidden="1"/>
    </xf>
    <xf numFmtId="169" fontId="0" fillId="41" borderId="16" xfId="0" applyNumberFormat="1" applyFill="1" applyBorder="1" applyAlignment="1" applyProtection="1">
      <alignment/>
      <protection hidden="1"/>
    </xf>
    <xf numFmtId="0" fontId="0" fillId="0" borderId="0" xfId="0" applyFont="1" applyBorder="1" applyAlignment="1" applyProtection="1">
      <alignment/>
      <protection hidden="1" locked="0"/>
    </xf>
    <xf numFmtId="170" fontId="0" fillId="0" borderId="0" xfId="44" applyNumberFormat="1" applyFont="1" applyBorder="1" applyAlignment="1" applyProtection="1">
      <alignment horizontal="center"/>
      <protection hidden="1" locked="0"/>
    </xf>
    <xf numFmtId="0" fontId="0" fillId="0" borderId="35" xfId="0" applyFill="1" applyBorder="1" applyAlignment="1" applyProtection="1">
      <alignment/>
      <protection hidden="1" locked="0"/>
    </xf>
    <xf numFmtId="0" fontId="0" fillId="0" borderId="28" xfId="0" applyBorder="1" applyAlignment="1" applyProtection="1">
      <alignment/>
      <protection hidden="1" locked="0"/>
    </xf>
    <xf numFmtId="170" fontId="0" fillId="0" borderId="28" xfId="0" applyNumberFormat="1" applyBorder="1" applyAlignment="1" applyProtection="1">
      <alignment horizontal="center"/>
      <protection hidden="1" locked="0"/>
    </xf>
    <xf numFmtId="0" fontId="0" fillId="0" borderId="0" xfId="0" applyBorder="1" applyAlignment="1" applyProtection="1">
      <alignment horizontal="right"/>
      <protection hidden="1" locked="0"/>
    </xf>
    <xf numFmtId="0" fontId="0" fillId="43" borderId="0" xfId="0" applyNumberFormat="1" applyFill="1" applyAlignment="1" applyProtection="1">
      <alignment/>
      <protection hidden="1"/>
    </xf>
    <xf numFmtId="2" fontId="0" fillId="0" borderId="0" xfId="0" applyNumberFormat="1" applyAlignment="1">
      <alignment/>
    </xf>
    <xf numFmtId="0" fontId="0" fillId="41" borderId="0" xfId="0" applyFill="1" applyAlignment="1" applyProtection="1">
      <alignment/>
      <protection hidden="1" locked="0"/>
    </xf>
    <xf numFmtId="1" fontId="0" fillId="41" borderId="0" xfId="0" applyNumberFormat="1" applyFill="1" applyAlignment="1" applyProtection="1">
      <alignment/>
      <protection hidden="1" locked="0"/>
    </xf>
    <xf numFmtId="0" fontId="0" fillId="0" borderId="0" xfId="0" applyAlignment="1" applyProtection="1">
      <alignment horizontal="center"/>
      <protection hidden="1" locked="0"/>
    </xf>
    <xf numFmtId="166" fontId="0" fillId="0" borderId="0" xfId="44" applyNumberFormat="1" applyFont="1" applyFill="1" applyBorder="1" applyAlignment="1" applyProtection="1">
      <alignment/>
      <protection hidden="1" locked="0"/>
    </xf>
    <xf numFmtId="165" fontId="0" fillId="0" borderId="0" xfId="44" applyNumberFormat="1" applyFont="1" applyFill="1" applyBorder="1" applyAlignment="1" applyProtection="1">
      <alignment horizontal="left"/>
      <protection hidden="1" locked="0"/>
    </xf>
    <xf numFmtId="165" fontId="0" fillId="0" borderId="21" xfId="44" applyNumberFormat="1" applyFont="1" applyFill="1" applyBorder="1" applyAlignment="1" applyProtection="1">
      <alignment horizontal="left"/>
      <protection hidden="1" locked="0"/>
    </xf>
    <xf numFmtId="165" fontId="0" fillId="0" borderId="0" xfId="0" applyNumberFormat="1" applyBorder="1" applyAlignment="1" applyProtection="1">
      <alignment horizontal="left"/>
      <protection hidden="1" locked="0"/>
    </xf>
    <xf numFmtId="165" fontId="0" fillId="0" borderId="21" xfId="0" applyNumberFormat="1" applyBorder="1" applyAlignment="1" applyProtection="1">
      <alignment horizontal="left"/>
      <protection hidden="1" locked="0"/>
    </xf>
    <xf numFmtId="165" fontId="7" fillId="0" borderId="0" xfId="44" applyNumberFormat="1" applyFont="1" applyFill="1" applyBorder="1" applyAlignment="1" applyProtection="1">
      <alignment/>
      <protection hidden="1" locked="0"/>
    </xf>
    <xf numFmtId="16" fontId="0" fillId="0" borderId="21" xfId="0" applyNumberFormat="1" applyBorder="1" applyAlignment="1" applyProtection="1">
      <alignment horizontal="left"/>
      <protection hidden="1" locked="0"/>
    </xf>
    <xf numFmtId="173" fontId="0" fillId="4" borderId="27" xfId="42" applyNumberFormat="1" applyFill="1" applyBorder="1" applyAlignment="1" applyProtection="1">
      <alignment/>
      <protection hidden="1"/>
    </xf>
    <xf numFmtId="1" fontId="0" fillId="4" borderId="27" xfId="0" applyNumberFormat="1" applyFill="1" applyBorder="1" applyAlignment="1" applyProtection="1">
      <alignment/>
      <protection hidden="1"/>
    </xf>
    <xf numFmtId="173" fontId="0" fillId="4" borderId="0" xfId="42" applyNumberFormat="1" applyFill="1" applyAlignment="1" applyProtection="1">
      <alignment/>
      <protection hidden="1"/>
    </xf>
    <xf numFmtId="1" fontId="0" fillId="4" borderId="0" xfId="0" applyNumberFormat="1" applyFill="1" applyBorder="1" applyAlignment="1" applyProtection="1">
      <alignment/>
      <protection hidden="1"/>
    </xf>
    <xf numFmtId="0" fontId="0" fillId="4" borderId="0" xfId="0" applyFill="1" applyBorder="1" applyAlignment="1" applyProtection="1">
      <alignment/>
      <protection hidden="1"/>
    </xf>
    <xf numFmtId="0" fontId="0" fillId="4" borderId="16" xfId="0" applyFill="1" applyBorder="1" applyAlignment="1" applyProtection="1">
      <alignment/>
      <protection hidden="1"/>
    </xf>
    <xf numFmtId="1" fontId="0" fillId="4" borderId="16" xfId="0" applyNumberFormat="1" applyFill="1" applyBorder="1" applyAlignment="1" applyProtection="1">
      <alignment/>
      <protection hidden="1"/>
    </xf>
    <xf numFmtId="14" fontId="4" fillId="0" borderId="36" xfId="0" applyNumberFormat="1" applyFont="1" applyBorder="1" applyAlignment="1" applyProtection="1">
      <alignment horizontal="center"/>
      <protection hidden="1" locked="0"/>
    </xf>
    <xf numFmtId="14" fontId="4" fillId="0" borderId="37" xfId="0" applyNumberFormat="1" applyFont="1" applyBorder="1" applyAlignment="1" applyProtection="1">
      <alignment horizontal="center"/>
      <protection hidden="1" locked="0"/>
    </xf>
    <xf numFmtId="0" fontId="5" fillId="0" borderId="38"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16" fontId="5" fillId="0" borderId="41" xfId="0" applyNumberFormat="1" applyFont="1" applyBorder="1" applyAlignment="1" applyProtection="1">
      <alignment horizontal="center"/>
      <protection locked="0"/>
    </xf>
    <xf numFmtId="172" fontId="6" fillId="0" borderId="42" xfId="44" applyNumberFormat="1" applyFont="1" applyFill="1" applyBorder="1" applyAlignment="1" applyProtection="1">
      <alignment horizontal="center"/>
      <protection locked="0"/>
    </xf>
    <xf numFmtId="172" fontId="6" fillId="0" borderId="43" xfId="44" applyNumberFormat="1" applyFont="1" applyFill="1" applyBorder="1" applyAlignment="1" applyProtection="1">
      <alignment horizontal="center"/>
      <protection locked="0"/>
    </xf>
    <xf numFmtId="16" fontId="5" fillId="0" borderId="44" xfId="0" applyNumberFormat="1" applyFont="1" applyBorder="1" applyAlignment="1" applyProtection="1">
      <alignment horizontal="center"/>
      <protection locked="0"/>
    </xf>
    <xf numFmtId="172" fontId="6" fillId="0" borderId="22" xfId="44" applyNumberFormat="1" applyFont="1" applyFill="1" applyBorder="1" applyAlignment="1" applyProtection="1">
      <alignment horizontal="center"/>
      <protection locked="0"/>
    </xf>
    <xf numFmtId="172" fontId="6" fillId="0" borderId="10" xfId="44" applyNumberFormat="1" applyFont="1" applyFill="1" applyBorder="1" applyAlignment="1" applyProtection="1">
      <alignment horizontal="center"/>
      <protection locked="0"/>
    </xf>
    <xf numFmtId="174" fontId="0" fillId="0" borderId="0" xfId="0" applyNumberFormat="1" applyAlignment="1">
      <alignment horizontal="center"/>
    </xf>
    <xf numFmtId="0" fontId="14" fillId="44" borderId="16" xfId="0" applyFont="1" applyFill="1" applyBorder="1" applyAlignment="1">
      <alignment horizontal="center"/>
    </xf>
    <xf numFmtId="0" fontId="15" fillId="0" borderId="16" xfId="0" applyFont="1" applyBorder="1" applyAlignment="1">
      <alignment horizontal="center"/>
    </xf>
    <xf numFmtId="0" fontId="5" fillId="0" borderId="45" xfId="0" applyFont="1" applyBorder="1" applyAlignment="1" applyProtection="1">
      <alignment horizontal="center"/>
      <protection hidden="1" locked="0"/>
    </xf>
    <xf numFmtId="0" fontId="5" fillId="0" borderId="46" xfId="0" applyFont="1" applyBorder="1" applyAlignment="1" applyProtection="1">
      <alignment horizontal="center"/>
      <protection hidden="1" locked="0"/>
    </xf>
    <xf numFmtId="0" fontId="5" fillId="0" borderId="47" xfId="0" applyFont="1" applyBorder="1" applyAlignment="1" applyProtection="1">
      <alignment horizontal="center"/>
      <protection hidden="1" locked="0"/>
    </xf>
    <xf numFmtId="14" fontId="2" fillId="45" borderId="48" xfId="53" applyNumberFormat="1" applyFont="1" applyFill="1" applyBorder="1" applyAlignment="1" applyProtection="1">
      <alignment horizontal="center"/>
      <protection hidden="1" locked="0"/>
    </xf>
    <xf numFmtId="0" fontId="4" fillId="46" borderId="49" xfId="0" applyFont="1" applyFill="1" applyBorder="1" applyAlignment="1" applyProtection="1">
      <alignment horizontal="center"/>
      <protection hidden="1" locked="0"/>
    </xf>
    <xf numFmtId="0" fontId="4" fillId="46" borderId="50" xfId="0" applyFont="1" applyFill="1" applyBorder="1" applyAlignment="1" applyProtection="1">
      <alignment horizontal="center"/>
      <protection hidden="1" locked="0"/>
    </xf>
    <xf numFmtId="0" fontId="4" fillId="46" borderId="51" xfId="0" applyFont="1" applyFill="1" applyBorder="1" applyAlignment="1" applyProtection="1">
      <alignment horizontal="center"/>
      <protection hidden="1" locked="0"/>
    </xf>
    <xf numFmtId="165" fontId="6" fillId="0" borderId="0" xfId="44" applyNumberFormat="1" applyFont="1" applyFill="1" applyBorder="1" applyAlignment="1" applyProtection="1">
      <alignment/>
      <protection hidden="1" locked="0"/>
    </xf>
    <xf numFmtId="0" fontId="13" fillId="0" borderId="0" xfId="0" applyFont="1" applyBorder="1" applyAlignment="1" applyProtection="1" quotePrefix="1">
      <alignment vertical="top" wrapText="1"/>
      <protection hidden="1" locked="0"/>
    </xf>
    <xf numFmtId="0" fontId="4" fillId="42" borderId="18" xfId="0" applyFont="1" applyFill="1" applyBorder="1" applyAlignment="1" applyProtection="1">
      <alignment/>
      <protection hidden="1" locked="0"/>
    </xf>
    <xf numFmtId="0" fontId="4" fillId="42" borderId="0" xfId="0" applyFont="1" applyFill="1" applyBorder="1" applyAlignment="1" applyProtection="1">
      <alignment/>
      <protection hidden="1" locked="0"/>
    </xf>
    <xf numFmtId="0" fontId="13" fillId="0" borderId="0" xfId="0" applyFont="1" applyBorder="1" applyAlignment="1" applyProtection="1" quotePrefix="1">
      <alignment wrapText="1"/>
      <protection hidden="1" locked="0"/>
    </xf>
    <xf numFmtId="0" fontId="0" fillId="0" borderId="0" xfId="0" applyAlignment="1">
      <alignment wrapText="1"/>
    </xf>
    <xf numFmtId="0" fontId="0" fillId="41"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ill>
        <patternFill>
          <bgColor theme="8" tint="0.7999799847602844"/>
        </patternFill>
      </fill>
    </dxf>
    <dxf>
      <fill>
        <patternFill>
          <bgColor theme="6" tint="0.5999600291252136"/>
        </patternFill>
      </fill>
    </dxf>
    <dxf>
      <border>
        <left/>
        <right/>
        <top/>
        <bottom/>
      </border>
    </dxf>
    <dxf>
      <fill>
        <patternFill>
          <bgColor rgb="FF00B050"/>
        </patternFill>
      </fill>
    </dxf>
    <dxf>
      <fill>
        <patternFill>
          <bgColor theme="0"/>
        </patternFill>
      </fill>
    </dxf>
    <dxf>
      <fill>
        <patternFill>
          <bgColor theme="0"/>
        </patternFill>
      </fill>
    </dxf>
    <dxf>
      <fill>
        <patternFill>
          <bgColor rgb="FF00B050"/>
        </patternFill>
      </fill>
    </dxf>
    <dxf>
      <font>
        <color theme="0"/>
      </font>
    </dxf>
    <dxf>
      <fill>
        <patternFill>
          <bgColor rgb="FFFF0000"/>
        </patternFill>
      </fill>
    </dxf>
    <dxf>
      <font>
        <color theme="0"/>
      </font>
    </dxf>
    <dxf>
      <font>
        <color theme="0"/>
      </font>
      <fill>
        <patternFill>
          <bgColor theme="1"/>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ont>
        <color theme="0"/>
      </font>
    </dxf>
    <dxf>
      <fill>
        <patternFill>
          <bgColor theme="6" tint="0.5999600291252136"/>
        </patternFill>
      </fill>
    </dxf>
    <dxf>
      <fill>
        <patternFill>
          <bgColor rgb="FF00B050"/>
        </patternFill>
      </fill>
    </dxf>
    <dxf>
      <fill>
        <patternFill>
          <bgColor rgb="FF00B050"/>
        </patternFill>
      </fill>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steadfarmsresort.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S100"/>
  <sheetViews>
    <sheetView showGridLines="0" showRowColHeaders="0" tabSelected="1" showOutlineSymbols="0" zoomScalePageLayoutView="0" workbookViewId="0" topLeftCell="A1">
      <selection activeCell="B2" sqref="B2"/>
    </sheetView>
  </sheetViews>
  <sheetFormatPr defaultColWidth="9.140625" defaultRowHeight="12.75"/>
  <cols>
    <col min="1" max="1" width="28.7109375" style="0" customWidth="1"/>
    <col min="2" max="2" width="13.57421875" style="0" customWidth="1"/>
    <col min="3" max="3" width="9.7109375" style="0" customWidth="1"/>
    <col min="6" max="10" width="4.7109375" style="0" customWidth="1"/>
    <col min="11" max="11" width="9.8515625" style="0" customWidth="1"/>
    <col min="12" max="12" width="6.140625" style="0" customWidth="1"/>
    <col min="13" max="13" width="6.8515625" style="0" customWidth="1"/>
    <col min="14" max="16" width="4.7109375" style="0" customWidth="1"/>
    <col min="17" max="17" width="11.421875" style="0" customWidth="1"/>
    <col min="18" max="20" width="4.7109375" style="0" customWidth="1"/>
    <col min="21" max="21" width="5.8515625" style="0" customWidth="1"/>
    <col min="22" max="22" width="5.140625" style="0" customWidth="1"/>
    <col min="48" max="49" width="10.28125" style="0" customWidth="1"/>
    <col min="50" max="50" width="11.00390625" style="0" customWidth="1"/>
    <col min="51" max="52" width="12.421875" style="0" customWidth="1"/>
  </cols>
  <sheetData>
    <row r="1" spans="1:52" ht="24.75" thickBot="1" thickTop="1">
      <c r="A1" s="144" t="str">
        <f>+B62</f>
        <v>Homestead Farms 2 Bedroom</v>
      </c>
      <c r="B1" s="144"/>
      <c r="C1" s="144"/>
      <c r="D1" s="31"/>
      <c r="E1" s="145" t="s">
        <v>0</v>
      </c>
      <c r="F1" s="146"/>
      <c r="G1" s="146"/>
      <c r="H1" s="146"/>
      <c r="I1" s="146"/>
      <c r="J1" s="146"/>
      <c r="K1" s="147"/>
      <c r="L1" s="32"/>
      <c r="M1" s="33"/>
      <c r="N1" s="33"/>
      <c r="O1" s="46"/>
      <c r="P1" s="33"/>
      <c r="Q1" s="33"/>
      <c r="R1" s="33"/>
      <c r="S1" s="33"/>
      <c r="T1" s="33"/>
      <c r="U1" s="98"/>
      <c r="V1" s="33"/>
      <c r="W1" s="33"/>
      <c r="X1" s="33"/>
      <c r="Y1" s="33"/>
      <c r="Z1" s="33"/>
      <c r="AA1" s="33"/>
      <c r="AB1" s="33"/>
      <c r="AC1" s="33"/>
      <c r="AD1" s="33"/>
      <c r="AE1" s="33"/>
      <c r="AF1" s="33"/>
      <c r="AG1" s="33"/>
      <c r="AH1" s="33"/>
      <c r="AI1" s="33"/>
      <c r="AJ1" s="110" t="s">
        <v>25</v>
      </c>
      <c r="AK1" s="111">
        <f>$B8-(+$B8-$AD34+AD57)/1.5</f>
        <v>1272.1666666666667</v>
      </c>
      <c r="AL1" s="33" t="s">
        <v>1</v>
      </c>
      <c r="AM1" s="33"/>
      <c r="AN1" s="33"/>
      <c r="AO1" s="33"/>
      <c r="AP1" s="33" t="s">
        <v>2</v>
      </c>
      <c r="AQ1" s="33"/>
      <c r="AR1" s="33" t="s">
        <v>38</v>
      </c>
      <c r="AS1" s="33" t="s">
        <v>3</v>
      </c>
      <c r="AT1" s="33"/>
      <c r="AU1" s="33"/>
      <c r="AV1" s="127" t="str">
        <f>+B62</f>
        <v>Homestead Farms 2 Bedroom</v>
      </c>
      <c r="AW1" s="128"/>
      <c r="AX1" s="141" t="s">
        <v>4</v>
      </c>
      <c r="AY1" s="142"/>
      <c r="AZ1" s="143"/>
    </row>
    <row r="2" spans="1:52" ht="18.75" thickBot="1">
      <c r="A2" s="34" t="s">
        <v>5</v>
      </c>
      <c r="B2" s="68">
        <v>42675</v>
      </c>
      <c r="C2" s="35"/>
      <c r="D2" s="32" t="s">
        <v>6</v>
      </c>
      <c r="E2" s="85"/>
      <c r="F2" s="36"/>
      <c r="G2" s="36"/>
      <c r="H2" s="36"/>
      <c r="I2" s="36"/>
      <c r="J2" s="36"/>
      <c r="K2" s="36"/>
      <c r="L2" s="37"/>
      <c r="M2" s="33"/>
      <c r="N2" s="33"/>
      <c r="O2" s="33"/>
      <c r="P2" s="33"/>
      <c r="Q2" s="33"/>
      <c r="R2" s="33"/>
      <c r="S2" s="33"/>
      <c r="T2" s="33"/>
      <c r="U2" s="113"/>
      <c r="V2" s="33"/>
      <c r="W2" s="33"/>
      <c r="X2" s="33"/>
      <c r="Y2" s="33"/>
      <c r="Z2" s="33"/>
      <c r="AA2" s="33"/>
      <c r="AB2" s="33"/>
      <c r="AC2" s="33"/>
      <c r="AD2" s="33"/>
      <c r="AE2" s="33"/>
      <c r="AF2" s="33"/>
      <c r="AG2" s="33"/>
      <c r="AH2" s="33"/>
      <c r="AI2" s="33"/>
      <c r="AJ2" s="110" t="s">
        <v>37</v>
      </c>
      <c r="AK2" s="111">
        <f>$B8-(+$B8-$AD34+AD57)/2.75</f>
        <v>1513.0818181818183</v>
      </c>
      <c r="AL2" s="33">
        <f>+IF(F$4&lt;42,40,0)</f>
        <v>40</v>
      </c>
      <c r="AM2" s="33">
        <v>40</v>
      </c>
      <c r="AN2" s="33"/>
      <c r="AO2" s="33"/>
      <c r="AP2" s="38">
        <v>1.2</v>
      </c>
      <c r="AQ2" s="33"/>
      <c r="AR2" s="38">
        <v>1.4</v>
      </c>
      <c r="AS2" s="33">
        <f>+IF(+B4+AT2=6,1,0)</f>
        <v>0</v>
      </c>
      <c r="AT2" s="39">
        <f>IF((+B3-Q34)&gt;0,+B3-Q34,0)</f>
        <v>0</v>
      </c>
      <c r="AU2" s="33"/>
      <c r="AV2" s="129" t="s">
        <v>7</v>
      </c>
      <c r="AW2" s="130" t="s">
        <v>8</v>
      </c>
      <c r="AX2" s="130" t="s">
        <v>9</v>
      </c>
      <c r="AY2" s="130" t="s">
        <v>10</v>
      </c>
      <c r="AZ2" s="131" t="s">
        <v>62</v>
      </c>
    </row>
    <row r="3" spans="1:52" ht="19.5" thickBot="1" thickTop="1">
      <c r="A3" s="40" t="s">
        <v>11</v>
      </c>
      <c r="B3" s="69">
        <f>+B2+5</f>
        <v>42680</v>
      </c>
      <c r="C3" s="41"/>
      <c r="D3" s="32"/>
      <c r="E3" s="85" t="s">
        <v>12</v>
      </c>
      <c r="F3" s="36"/>
      <c r="G3" s="36"/>
      <c r="H3" s="36"/>
      <c r="I3" s="36"/>
      <c r="J3" s="36"/>
      <c r="K3" s="103">
        <f>+MIN(D14:D29)</f>
        <v>151.368</v>
      </c>
      <c r="L3" s="32"/>
      <c r="M3" s="33">
        <f>+IF(B10="","",IF(OR(AND(K10="lp",B10*1.1&lt;B8),AND(K10="lr",B10*1.15&lt;K6)),"Forward sent reply to Rick; put below $ in Subject.",""))</f>
      </c>
      <c r="N3" s="33"/>
      <c r="O3" s="112"/>
      <c r="P3" s="33"/>
      <c r="Q3" s="33"/>
      <c r="R3" s="33"/>
      <c r="S3" s="33"/>
      <c r="T3" s="33"/>
      <c r="U3" s="33"/>
      <c r="V3" s="33"/>
      <c r="W3" s="33"/>
      <c r="X3" s="33"/>
      <c r="Y3" s="33"/>
      <c r="Z3" s="33"/>
      <c r="AA3" s="33"/>
      <c r="AB3" s="33"/>
      <c r="AC3" s="33"/>
      <c r="AD3" s="33"/>
      <c r="AE3" s="33"/>
      <c r="AF3" s="33"/>
      <c r="AG3" s="33"/>
      <c r="AH3" s="33" t="s">
        <v>54</v>
      </c>
      <c r="AI3" s="39">
        <f>IF(B8*AL8&lt;AK3,B8*AL8,IF(+B8*0.87&lt;AK3,AK3,B8*0.87))</f>
        <v>1712.0710000000001</v>
      </c>
      <c r="AJ3" s="110" t="s">
        <v>58</v>
      </c>
      <c r="AK3" s="111">
        <f>IF(F5&lt;61,((+AD34+AD57)-45)*2.2*(1+AQ5/2)+45,((+AD34+AD57)-45)*1.85*(1+AQ5/2)+45)</f>
        <v>1922.89578</v>
      </c>
      <c r="AL3" s="33">
        <f>+IF(F$4&gt;61,60,0)</f>
        <v>0</v>
      </c>
      <c r="AM3" s="33">
        <v>60</v>
      </c>
      <c r="AN3" s="33"/>
      <c r="AO3" s="33"/>
      <c r="AP3" s="33"/>
      <c r="AQ3" s="33"/>
      <c r="AR3" s="33"/>
      <c r="AS3" s="33">
        <f>+IF(B4+AT2&gt;6,2,0)</f>
        <v>0</v>
      </c>
      <c r="AT3" s="33"/>
      <c r="AU3" s="33"/>
      <c r="AV3" s="132">
        <f>+A18</f>
        <v>42372</v>
      </c>
      <c r="AW3" s="132">
        <f>+B18</f>
        <v>42444</v>
      </c>
      <c r="AX3" s="133">
        <f>+C18</f>
        <v>180.20000000000002</v>
      </c>
      <c r="AY3" s="133">
        <f>+D18</f>
        <v>151.368</v>
      </c>
      <c r="AZ3" s="134">
        <f>+M18</f>
        <v>144.35999999999999</v>
      </c>
    </row>
    <row r="4" spans="1:52" ht="19.5" thickBot="1" thickTop="1">
      <c r="A4" s="40" t="s">
        <v>13</v>
      </c>
      <c r="B4" s="43">
        <f>+IF(B3-Q34&lt;0,B3-B2,Q34-B2)</f>
        <v>5</v>
      </c>
      <c r="C4" s="44">
        <f>+IF(A$36=1,B3-Q34,"")</f>
      </c>
      <c r="D4" s="32"/>
      <c r="E4" s="104" t="s">
        <v>14</v>
      </c>
      <c r="F4" s="105"/>
      <c r="G4" s="105"/>
      <c r="H4" s="105"/>
      <c r="I4" s="105"/>
      <c r="J4" s="105"/>
      <c r="K4" s="106">
        <f>+MAX(C14:C18)</f>
        <v>471.91200000000003</v>
      </c>
      <c r="L4" s="32"/>
      <c r="M4" s="33">
        <f>+IF(K10="lp",AK3,IF(K10="lr",AK4,""))</f>
      </c>
      <c r="N4" s="33"/>
      <c r="O4" s="33"/>
      <c r="P4" s="33"/>
      <c r="Q4" s="33"/>
      <c r="R4" s="33"/>
      <c r="S4" s="33"/>
      <c r="T4" s="33"/>
      <c r="U4" s="33"/>
      <c r="V4" s="33"/>
      <c r="W4" s="33"/>
      <c r="X4" s="33"/>
      <c r="Y4" s="33"/>
      <c r="Z4" s="33"/>
      <c r="AA4" s="33"/>
      <c r="AB4" s="33"/>
      <c r="AC4" s="33"/>
      <c r="AD4" s="33"/>
      <c r="AE4" s="33"/>
      <c r="AF4" s="33"/>
      <c r="AG4" s="33"/>
      <c r="AH4" s="33" t="s">
        <v>55</v>
      </c>
      <c r="AI4" s="39">
        <f>IF(+K6*0.85&lt;AK4,AK4,K6*0.85)</f>
        <v>792.0700000000003</v>
      </c>
      <c r="AJ4" s="110" t="s">
        <v>59</v>
      </c>
      <c r="AK4" s="111">
        <f>IF(K6*AL8&lt;(+AQ7*1.4+10),K6*AL8,AQ7*1.4+10)</f>
        <v>675</v>
      </c>
      <c r="AL4" s="33">
        <f>+IF(U2&lt;20,0,1)</f>
        <v>0</v>
      </c>
      <c r="AM4" s="33" t="s">
        <v>15</v>
      </c>
      <c r="AN4" s="33">
        <f>+IF((SUM($AL2:$AL3))=0,1,0)</f>
        <v>0</v>
      </c>
      <c r="AO4" s="33" t="s">
        <v>6</v>
      </c>
      <c r="AP4" s="52" t="s">
        <v>39</v>
      </c>
      <c r="AQ4" s="53">
        <v>8</v>
      </c>
      <c r="AR4" s="33"/>
      <c r="AS4" s="33">
        <f>+IF(P34=40,0,AS5)</f>
        <v>0</v>
      </c>
      <c r="AT4" s="33"/>
      <c r="AU4" s="33"/>
      <c r="AV4" s="135">
        <f>+A16</f>
        <v>42445</v>
      </c>
      <c r="AW4" s="135">
        <f>+B16</f>
        <v>42511</v>
      </c>
      <c r="AX4" s="136">
        <f>+C16</f>
        <v>350.43600000000004</v>
      </c>
      <c r="AY4" s="136">
        <f>+D16</f>
        <v>294.36624</v>
      </c>
      <c r="AZ4" s="137">
        <f>+M16</f>
        <v>178.3694117647059</v>
      </c>
    </row>
    <row r="5" spans="1:52" ht="18.75" thickBot="1">
      <c r="A5" s="40" t="s">
        <v>16</v>
      </c>
      <c r="B5" s="114">
        <f>+N34</f>
        <v>350.43600000000004</v>
      </c>
      <c r="C5" s="115">
        <f>+IF(A$36=1,N57,"")</f>
      </c>
      <c r="D5" s="32"/>
      <c r="E5" s="86" t="s">
        <v>17</v>
      </c>
      <c r="F5" s="45">
        <f ca="1">+B2-TODAY()</f>
        <v>250</v>
      </c>
      <c r="G5" s="87" t="s">
        <v>18</v>
      </c>
      <c r="H5" s="33"/>
      <c r="I5" s="87"/>
      <c r="J5" s="87"/>
      <c r="K5" s="88"/>
      <c r="L5" s="32"/>
      <c r="M5" s="33"/>
      <c r="N5" s="33"/>
      <c r="O5" s="33"/>
      <c r="P5" s="33"/>
      <c r="Q5" s="33"/>
      <c r="R5" s="33"/>
      <c r="S5" s="33"/>
      <c r="T5" s="33"/>
      <c r="U5" s="33"/>
      <c r="V5" s="33"/>
      <c r="W5" s="33"/>
      <c r="X5" s="33"/>
      <c r="Y5" s="33"/>
      <c r="Z5" s="33"/>
      <c r="AA5" s="33"/>
      <c r="AB5" s="33"/>
      <c r="AC5" s="33"/>
      <c r="AD5" s="33"/>
      <c r="AE5" s="33"/>
      <c r="AF5" s="33"/>
      <c r="AG5" s="33"/>
      <c r="AH5" s="33"/>
      <c r="AI5" s="33"/>
      <c r="AJ5" s="36" t="s">
        <v>60</v>
      </c>
      <c r="AK5" s="42">
        <f>+IF(P23=40,B8*AJ8,IF(F5&lt;61,B8*AK8,B8*AL8))</f>
        <v>1712.0710000000001</v>
      </c>
      <c r="AL5" s="33">
        <f>+IF(F$4&lt;80,80,0)</f>
        <v>80</v>
      </c>
      <c r="AM5" s="33">
        <v>80</v>
      </c>
      <c r="AN5" s="33"/>
      <c r="AO5" s="33"/>
      <c r="AP5" s="52" t="s">
        <v>40</v>
      </c>
      <c r="AQ5" s="54">
        <v>0.11</v>
      </c>
      <c r="AR5" s="33"/>
      <c r="AS5" s="33">
        <f>+AS2+AS3</f>
        <v>0</v>
      </c>
      <c r="AT5" s="33"/>
      <c r="AU5" s="33"/>
      <c r="AV5" s="132">
        <f>+A14</f>
        <v>42512</v>
      </c>
      <c r="AW5" s="132">
        <f>+B14</f>
        <v>42643</v>
      </c>
      <c r="AX5" s="133">
        <f>+C14</f>
        <v>471.91200000000003</v>
      </c>
      <c r="AY5" s="133">
        <f>+D14</f>
        <v>330.3384</v>
      </c>
      <c r="AZ5" s="134">
        <f>+M14</f>
        <v>202.63764705882352</v>
      </c>
    </row>
    <row r="6" spans="1:52" ht="19.5" thickBot="1" thickTop="1">
      <c r="A6" s="40" t="s">
        <v>19</v>
      </c>
      <c r="B6" s="116">
        <f>+B5*B4+S34</f>
        <v>1752.1800000000003</v>
      </c>
      <c r="C6" s="117">
        <f>+IF(A$36=1,C5*C4,"")</f>
      </c>
      <c r="D6" s="32"/>
      <c r="E6" s="150" t="str">
        <f>IF(OR(AND($N$12="N",$F$5&lt;41),(+$E$34*($B$3-$B$2)+40+S34)&gt;$B8,F5&gt;305),"","No cancel.  Low $ Guarantee")</f>
        <v>No cancel.  Low $ Guarantee</v>
      </c>
      <c r="F6" s="151"/>
      <c r="G6" s="151"/>
      <c r="H6" s="151"/>
      <c r="I6" s="151"/>
      <c r="J6" s="151"/>
      <c r="K6" s="89">
        <f>IF(OR(AND($N$12="N",$F$5&lt;41),(+$E$34*($B$3-$B$2)+40+S34)*1.04+10&gt;$B8,F5&gt;305),"",+$E34*($B$3-$B$2)+40+S34)</f>
        <v>931.8470588235298</v>
      </c>
      <c r="L6" s="33"/>
      <c r="M6" s="33"/>
      <c r="N6" s="33"/>
      <c r="O6" s="46"/>
      <c r="P6" s="33"/>
      <c r="Q6" s="33"/>
      <c r="R6" s="33"/>
      <c r="S6" s="33"/>
      <c r="T6" s="33"/>
      <c r="U6" s="118"/>
      <c r="V6" s="33"/>
      <c r="W6" s="33"/>
      <c r="X6" s="33"/>
      <c r="Y6" s="33"/>
      <c r="Z6" s="33"/>
      <c r="AA6" s="33"/>
      <c r="AB6" s="33"/>
      <c r="AC6" s="33"/>
      <c r="AD6" s="33"/>
      <c r="AE6" s="33"/>
      <c r="AF6" s="33"/>
      <c r="AG6" s="33"/>
      <c r="AH6" s="33"/>
      <c r="AI6" s="33"/>
      <c r="AJ6" s="33" t="s">
        <v>56</v>
      </c>
      <c r="AK6" s="39">
        <f>+IF(MIN(AK3,AK5)&lt;0.87*AK5,0.87*AK5,MIN(AK3,AK5))</f>
        <v>1712.0710000000001</v>
      </c>
      <c r="AL6" s="33">
        <f>+IF(AL5+AL3=140,1,0)</f>
        <v>0</v>
      </c>
      <c r="AM6" s="33"/>
      <c r="AN6" s="33"/>
      <c r="AO6" s="33"/>
      <c r="AP6" s="52" t="s">
        <v>41</v>
      </c>
      <c r="AQ6" s="55">
        <f>+IF(A$36=1,AA34+AA57,AA34)</f>
        <v>1007.16</v>
      </c>
      <c r="AR6" s="33"/>
      <c r="AS6" s="33"/>
      <c r="AT6" s="33"/>
      <c r="AU6" s="33"/>
      <c r="AV6" s="135">
        <f>+A17</f>
        <v>42644</v>
      </c>
      <c r="AW6" s="135">
        <f>+B17</f>
        <v>42701</v>
      </c>
      <c r="AX6" s="136">
        <f>+C17</f>
        <v>350.43600000000004</v>
      </c>
      <c r="AY6" s="136">
        <f>+D17</f>
        <v>294.36624</v>
      </c>
      <c r="AZ6" s="137">
        <f>+M17</f>
        <v>178.3694117647059</v>
      </c>
    </row>
    <row r="7" spans="1:52" ht="18.75" thickBot="1">
      <c r="A7" s="40" t="s">
        <v>20</v>
      </c>
      <c r="B7" s="114">
        <f>+P34</f>
        <v>50</v>
      </c>
      <c r="C7" s="119"/>
      <c r="D7" s="32"/>
      <c r="E7" s="85" t="s">
        <v>21</v>
      </c>
      <c r="F7" s="36"/>
      <c r="G7" s="36"/>
      <c r="H7" s="36"/>
      <c r="I7" s="36"/>
      <c r="J7" s="36"/>
      <c r="K7" s="90">
        <f>+Y34</f>
        <v>294.36624</v>
      </c>
      <c r="L7" s="33"/>
      <c r="M7" s="33">
        <f>+IF(AND(F5&lt;11,M8="Check Space Available"),"Check even if 1 unit available.","")</f>
      </c>
      <c r="N7" s="33"/>
      <c r="O7" s="112"/>
      <c r="P7" s="33"/>
      <c r="Q7" s="33"/>
      <c r="R7" s="33"/>
      <c r="S7" s="33"/>
      <c r="T7" s="33"/>
      <c r="U7" s="33"/>
      <c r="V7" s="33"/>
      <c r="W7" s="33"/>
      <c r="X7" s="33"/>
      <c r="Y7" s="33"/>
      <c r="Z7" s="33"/>
      <c r="AA7" s="33"/>
      <c r="AB7" s="33"/>
      <c r="AC7" s="33"/>
      <c r="AD7" s="33"/>
      <c r="AE7" s="33"/>
      <c r="AF7" s="33"/>
      <c r="AG7" s="33"/>
      <c r="AH7" s="33"/>
      <c r="AI7" s="33"/>
      <c r="AJ7" s="33" t="s">
        <v>61</v>
      </c>
      <c r="AK7" s="39">
        <f>IF(K10="lr",+K6*0.85,B8*0.87)</f>
        <v>1567.8966000000003</v>
      </c>
      <c r="AL7" s="33">
        <f>+AL4+AL6</f>
        <v>0</v>
      </c>
      <c r="AM7" s="33"/>
      <c r="AN7" s="33"/>
      <c r="AO7" s="33"/>
      <c r="AP7" s="52" t="s">
        <v>49</v>
      </c>
      <c r="AQ7" s="55">
        <f>+IF(F5&lt;61,(E$69)*(B$3-B$2)+25,(F$69)*(B$3-B$2)+25)</f>
        <v>475</v>
      </c>
      <c r="AR7" s="33"/>
      <c r="AS7" s="33"/>
      <c r="AT7" s="33"/>
      <c r="AU7" s="33"/>
      <c r="AV7" s="135">
        <f>+A19</f>
        <v>42702</v>
      </c>
      <c r="AW7" s="135">
        <f>+B19</f>
        <v>42722</v>
      </c>
      <c r="AX7" s="136">
        <f>+C19</f>
        <v>180.20000000000002</v>
      </c>
      <c r="AY7" s="136">
        <f>+D19</f>
        <v>151.368</v>
      </c>
      <c r="AZ7" s="136">
        <f>+E19</f>
        <v>178.3694117647059</v>
      </c>
    </row>
    <row r="8" spans="1:65" s="33" customFormat="1" ht="21" thickBot="1">
      <c r="A8" s="64" t="s">
        <v>22</v>
      </c>
      <c r="B8" s="65">
        <f>+IF(A36=1,B7+B6+C6,B6+B7)</f>
        <v>1802.1800000000003</v>
      </c>
      <c r="C8" s="91"/>
      <c r="D8" s="85"/>
      <c r="E8" s="92" t="s">
        <v>23</v>
      </c>
      <c r="F8" s="93"/>
      <c r="G8" s="93"/>
      <c r="H8" s="93"/>
      <c r="I8" s="93"/>
      <c r="J8" s="93"/>
      <c r="K8" s="94">
        <f>+J34</f>
        <v>350.43600000000004</v>
      </c>
      <c r="M8" s="33">
        <f>+IF(K6="","",IF(OR(AND(J$69="S",N$12&lt;&gt;"N"),AND(K$6&lt;N$57,A$36=1)),"Check Space Available",""))</f>
      </c>
      <c r="AJ8" s="33">
        <v>0.91</v>
      </c>
      <c r="AK8" s="33">
        <v>0.92</v>
      </c>
      <c r="AL8" s="33">
        <v>0.95</v>
      </c>
      <c r="AP8" s="33" t="str">
        <f>+IF(M8="Check Space Available","S",+IF(AQ7&lt;AQ6*1.06,"R","P"))</f>
        <v>R</v>
      </c>
      <c r="AQ8" s="39">
        <f>+MIN(AQ6:AQ7)</f>
        <v>475</v>
      </c>
      <c r="AV8" s="135">
        <f>+A15</f>
        <v>42723</v>
      </c>
      <c r="AW8" s="135">
        <f>+B15</f>
        <v>42737</v>
      </c>
      <c r="AX8" s="136">
        <f>+C15</f>
        <v>471.91200000000003</v>
      </c>
      <c r="AY8" s="136">
        <f>+D15</f>
        <v>330.3384</v>
      </c>
      <c r="AZ8" s="137">
        <f>+M15</f>
        <v>202.63764705882352</v>
      </c>
      <c r="BA8"/>
      <c r="BB8"/>
      <c r="BC8"/>
      <c r="BD8"/>
      <c r="BE8"/>
      <c r="BF8"/>
      <c r="BH8"/>
      <c r="BI8"/>
      <c r="BJ8"/>
      <c r="BK8"/>
      <c r="BL8"/>
      <c r="BM8"/>
    </row>
    <row r="9" spans="1:13" s="33" customFormat="1" ht="18" customHeight="1" thickTop="1">
      <c r="A9" s="70" t="str">
        <f>+A61</f>
        <v>Free Internet &amp; Parking</v>
      </c>
      <c r="B9" s="71" t="s">
        <v>47</v>
      </c>
      <c r="E9" s="102" t="str">
        <f>+IF(AND(AE34&gt;1,B7=50),"Enter number of Fri/Sat. Nights","")</f>
        <v>Enter number of Fri/Sat. Nights</v>
      </c>
      <c r="J9" s="33">
        <f>+AS5</f>
        <v>0</v>
      </c>
      <c r="K9" s="107" t="str">
        <f>+AP8</f>
        <v>R</v>
      </c>
      <c r="M9" s="33">
        <f>+IF(AND(J9&gt;0,(B5+S34)&gt;M69,F5&gt;40,F5&lt;60),"Rent Weekends","")</f>
      </c>
    </row>
    <row r="10" spans="1:60" ht="20.25">
      <c r="A10" s="36">
        <f>+IF(OR(K10="",K10="n"),"",AJ5)</f>
      </c>
      <c r="B10" s="47">
        <f>+IF(K10=10,AK5,IF(K10="r2",AK2,IF(K10="lra",AK1,IF(K10="cst",AQ8,IF(K10="LP",AI3,IF(K10="lr",AI4,""))))))</f>
      </c>
      <c r="C10" s="33"/>
      <c r="D10" s="33"/>
      <c r="E10" s="33"/>
      <c r="F10" s="33"/>
      <c r="G10" s="33"/>
      <c r="H10" s="95" t="s">
        <v>24</v>
      </c>
      <c r="I10" s="33"/>
      <c r="J10" s="96"/>
      <c r="K10" s="97"/>
      <c r="M10" s="33"/>
      <c r="N10" s="33"/>
      <c r="O10" s="33"/>
      <c r="P10" s="33"/>
      <c r="Q10" s="33"/>
      <c r="R10" s="33"/>
      <c r="S10" s="33"/>
      <c r="T10" s="33"/>
      <c r="U10" s="33"/>
      <c r="V10" s="33"/>
      <c r="W10" s="33"/>
      <c r="AP10" s="33"/>
      <c r="AQ10" s="33"/>
      <c r="AR10" s="33"/>
      <c r="AS10" s="33"/>
      <c r="AT10" s="33"/>
      <c r="BH10" s="138">
        <f>SUM(BH3:BH9)</f>
        <v>0</v>
      </c>
    </row>
    <row r="11" spans="1:71" s="33" customFormat="1" ht="57.75" customHeight="1">
      <c r="A11" s="149" t="str">
        <f>+IF(N10="y",BA13,IF(AND(F5&lt;61,G34&lt;1.1),BD11,IF(F5&gt;60,CONCATENATE(BA11,BB11),"")))</f>
        <v>When we book units over 60 days in advance, we attempt to reduce the rate if a second unit becomes available at 60 days in advance or if other special pricing is offered to us. .  Anytime up to 30 days prior to booking, we can cancel the original reservation.  The $20 change fee is negligible compared to the savings.  We pay less for units we book closer to the arrival date and our profit is actually higher so it’s a win for both of us.</v>
      </c>
      <c r="B11" s="149"/>
      <c r="C11" s="149"/>
      <c r="D11" s="149"/>
      <c r="E11" s="149"/>
      <c r="F11" s="149"/>
      <c r="G11" s="149"/>
      <c r="H11" s="149"/>
      <c r="I11" s="149"/>
      <c r="J11" s="149"/>
      <c r="K11" s="149"/>
      <c r="L11" s="66"/>
      <c r="O11" s="148"/>
      <c r="P11" s="148"/>
      <c r="Q11" s="148"/>
      <c r="R11" s="148"/>
      <c r="S11" s="148"/>
      <c r="T11" s="148"/>
      <c r="U11" s="148"/>
      <c r="V11" s="148"/>
      <c r="W11" s="148"/>
      <c r="X11"/>
      <c r="Y11"/>
      <c r="Z11"/>
      <c r="AA11"/>
      <c r="AB11"/>
      <c r="AC11"/>
      <c r="AD11"/>
      <c r="AE11"/>
      <c r="AM11"/>
      <c r="AN11"/>
      <c r="AO11"/>
      <c r="BA11" t="s">
        <v>50</v>
      </c>
      <c r="BB11" s="33" t="s">
        <v>42</v>
      </c>
      <c r="BC11"/>
      <c r="BD11" t="s">
        <v>51</v>
      </c>
      <c r="BE11"/>
      <c r="BF11"/>
      <c r="BG11"/>
      <c r="BH11"/>
      <c r="BI11"/>
      <c r="BJ11"/>
      <c r="BK11"/>
      <c r="BL11"/>
      <c r="BM11"/>
      <c r="BO11" t="s">
        <v>50</v>
      </c>
      <c r="BP11" s="33" t="s">
        <v>42</v>
      </c>
      <c r="BQ11"/>
      <c r="BR11" t="s">
        <v>51</v>
      </c>
      <c r="BS11"/>
    </row>
    <row r="12" spans="1:71" s="33" customFormat="1" ht="43.5" customHeight="1">
      <c r="A12" s="152">
        <f>+IF(K10="lr","The above discounted rate is a special non-refundable rate.  Our lowest priced inventory is no longer available to us, so we've offered this very competitive pricing to do the best we can to take good care of our pre-Sept/2015 repeat guests.",IF(N11&lt;&gt;"y","",CONCATENATE(BO12,BP12)))</f>
      </c>
      <c r="B12" s="153"/>
      <c r="C12" s="153"/>
      <c r="D12" s="153"/>
      <c r="E12" s="153"/>
      <c r="F12" s="153"/>
      <c r="G12" s="153"/>
      <c r="H12" s="153"/>
      <c r="I12" s="153"/>
      <c r="J12" s="153"/>
      <c r="K12" s="153"/>
      <c r="L12" s="66"/>
      <c r="M12" s="83">
        <f>+IF(OR(AND(M8="Check Space Available",N$12&lt;&gt;"N")),"(N)o Space Avail","")</f>
      </c>
      <c r="N12" s="84">
        <f>+IF(F4&gt;305,"p","")</f>
      </c>
      <c r="O12" s="63"/>
      <c r="P12" s="63"/>
      <c r="Q12" s="63"/>
      <c r="R12" s="63"/>
      <c r="S12" s="63"/>
      <c r="T12" s="63"/>
      <c r="U12" s="63"/>
      <c r="V12" s="63"/>
      <c r="W12" s="63"/>
      <c r="X12"/>
      <c r="Y12"/>
      <c r="Z12"/>
      <c r="AA12"/>
      <c r="AB12"/>
      <c r="AC12"/>
      <c r="AD12"/>
      <c r="AE12"/>
      <c r="AP12" s="36"/>
      <c r="AQ12" s="36"/>
      <c r="AR12" s="36"/>
      <c r="AS12" s="42"/>
      <c r="BA12" t="s">
        <v>52</v>
      </c>
      <c r="BB12" s="33" t="s">
        <v>53</v>
      </c>
      <c r="BC12"/>
      <c r="BD12"/>
      <c r="BE12"/>
      <c r="BF12"/>
      <c r="BG12"/>
      <c r="BH12"/>
      <c r="BI12"/>
      <c r="BJ12"/>
      <c r="BK12"/>
      <c r="BL12"/>
      <c r="BM12"/>
      <c r="BO12" t="s">
        <v>52</v>
      </c>
      <c r="BP12" s="33" t="s">
        <v>53</v>
      </c>
      <c r="BQ12"/>
      <c r="BR12"/>
      <c r="BS12"/>
    </row>
    <row r="13" spans="1:53" ht="15" thickBot="1">
      <c r="A13" s="139" t="s">
        <v>43</v>
      </c>
      <c r="B13" s="140"/>
      <c r="C13" s="140"/>
      <c r="D13" s="140"/>
      <c r="E13" s="140"/>
      <c r="F13" s="140"/>
      <c r="G13" s="140"/>
      <c r="H13" s="140"/>
      <c r="I13" s="140"/>
      <c r="J13" s="140"/>
      <c r="K13" s="140"/>
      <c r="L13" s="67"/>
      <c r="M13" s="67"/>
      <c r="Y13" s="56"/>
      <c r="Z13" s="56"/>
      <c r="AA13" s="56"/>
      <c r="AB13" s="56"/>
      <c r="AC13" s="56"/>
      <c r="AD13" s="56"/>
      <c r="AM13" s="33"/>
      <c r="AN13" s="33"/>
      <c r="AO13" s="33"/>
      <c r="AP13" s="36"/>
      <c r="AQ13" s="36"/>
      <c r="AR13" s="36"/>
      <c r="AS13" s="42"/>
      <c r="AT13" s="33"/>
      <c r="BA13" t="s">
        <v>63</v>
      </c>
    </row>
    <row r="14" spans="1:31" ht="12.75" customHeight="1" hidden="1">
      <c r="A14" s="3">
        <f>+B16+1</f>
        <v>42512</v>
      </c>
      <c r="B14" s="4">
        <f>+A14+131</f>
        <v>42643</v>
      </c>
      <c r="C14" s="5">
        <f>+B63</f>
        <v>471.91200000000003</v>
      </c>
      <c r="D14" s="5">
        <f>+C14*0.7</f>
        <v>330.3384</v>
      </c>
      <c r="E14" s="75">
        <f>+M69</f>
        <v>178.3694117647059</v>
      </c>
      <c r="F14" s="5">
        <f aca="true" t="shared" si="0" ref="F14:F30">+A14-$B$2</f>
        <v>-163</v>
      </c>
      <c r="G14" s="5">
        <f aca="true" t="shared" si="1" ref="G14:G30">+B14-$B$2+1</f>
        <v>-31</v>
      </c>
      <c r="H14" s="6">
        <f aca="true" t="shared" si="2" ref="H14:I29">+IF(F14&gt;0,1,0)</f>
        <v>0</v>
      </c>
      <c r="I14" s="6">
        <f t="shared" si="2"/>
        <v>0</v>
      </c>
      <c r="J14" s="6">
        <f aca="true" t="shared" si="3" ref="J14:J30">+IF(H14+I14=1,C14,0)</f>
        <v>0</v>
      </c>
      <c r="K14" s="5">
        <f>+IF(F$5&lt;62,D14,C14)</f>
        <v>471.91200000000003</v>
      </c>
      <c r="L14" s="5">
        <f aca="true" t="shared" si="4" ref="L14:L30">+IF(J14=0,0,K14)</f>
        <v>0</v>
      </c>
      <c r="M14" s="120">
        <f aca="true" t="shared" si="5" ref="M14:M30">+$F$69*(1+$L$67)*(1+(C14/C$18+0.01-1)/$C$68)</f>
        <v>202.63764705882352</v>
      </c>
      <c r="N14" s="121">
        <f aca="true" t="shared" si="6" ref="N14:N30">+L14</f>
        <v>0</v>
      </c>
      <c r="O14" s="6">
        <f aca="true" t="shared" si="7" ref="O14:O30">+IF(N14=L14,50,40)</f>
        <v>50</v>
      </c>
      <c r="P14" s="7">
        <f aca="true" t="shared" si="8" ref="P14:P30">+IF(N14=0,0,O14)</f>
        <v>0</v>
      </c>
      <c r="Q14" s="48">
        <f aca="true" t="shared" si="9" ref="Q14:Q30">+IF(N14=0,0,B14)</f>
        <v>0</v>
      </c>
      <c r="R14">
        <f>+IF(J$9&gt;0,J$9*N14*X14,0)</f>
        <v>0</v>
      </c>
      <c r="S14" s="154">
        <f aca="true" t="shared" si="10" ref="S14:S30">+IF(P14=50,R14,R14*S$35)</f>
        <v>0</v>
      </c>
      <c r="U14">
        <v>31.8</v>
      </c>
      <c r="V14">
        <f>+U14</f>
        <v>31.8</v>
      </c>
      <c r="W14">
        <f aca="true" t="shared" si="11" ref="W14:W25">+V14-U14</f>
        <v>0</v>
      </c>
      <c r="X14" s="109">
        <f aca="true" t="shared" si="12" ref="X14:X25">+W14/U14</f>
        <v>0</v>
      </c>
      <c r="Y14">
        <f>+IF(L14=0,0,D14)</f>
        <v>0</v>
      </c>
      <c r="Z14" s="14">
        <f>+IF(N14=0,0,U14*AQ$4*B$4*(1+AQ$5/2)+20+25)</f>
        <v>0</v>
      </c>
      <c r="AA14" s="58">
        <f aca="true" t="shared" si="13" ref="AA14:AA31">+IF(K14=D14,AC14,Z14)</f>
        <v>0</v>
      </c>
      <c r="AB14" s="57">
        <f>+MIN(AA14,AC14)</f>
        <v>0</v>
      </c>
      <c r="AC14" s="14">
        <f>+IF(N14=0,0,U14/2*AQ$4*(B$4)+AQ$5*(B$4)+20+25)</f>
        <v>0</v>
      </c>
      <c r="AD14" s="57">
        <f aca="true" t="shared" si="14" ref="AD14:AD31">+IF(P14=40,(E$68)*(B$3-B$2)+25,AA14)</f>
        <v>0</v>
      </c>
      <c r="AE14">
        <f>IF(N14&gt;0,+V14/U14,0)</f>
        <v>0</v>
      </c>
    </row>
    <row r="15" spans="1:31" ht="12.75" customHeight="1" hidden="1">
      <c r="A15" s="9">
        <f>+B19+1</f>
        <v>42723</v>
      </c>
      <c r="B15" s="10">
        <f>+A15+14</f>
        <v>42737</v>
      </c>
      <c r="C15" s="8">
        <f>+B$63</f>
        <v>471.91200000000003</v>
      </c>
      <c r="D15" s="8">
        <f>+C15*0.7</f>
        <v>330.3384</v>
      </c>
      <c r="E15" s="8">
        <f aca="true" t="shared" si="15" ref="E15:E30">+E14</f>
        <v>178.3694117647059</v>
      </c>
      <c r="F15" s="8">
        <f t="shared" si="0"/>
        <v>48</v>
      </c>
      <c r="G15" s="8">
        <f t="shared" si="1"/>
        <v>63</v>
      </c>
      <c r="H15" s="11">
        <f t="shared" si="2"/>
        <v>1</v>
      </c>
      <c r="I15" s="11">
        <f t="shared" si="2"/>
        <v>1</v>
      </c>
      <c r="J15" s="11">
        <f t="shared" si="3"/>
        <v>0</v>
      </c>
      <c r="K15" s="8">
        <f>+IF(F$5&lt;62,D15,C15)</f>
        <v>471.91200000000003</v>
      </c>
      <c r="L15" s="8">
        <f t="shared" si="4"/>
        <v>0</v>
      </c>
      <c r="M15" s="122">
        <f t="shared" si="5"/>
        <v>202.63764705882352</v>
      </c>
      <c r="N15" s="123">
        <f t="shared" si="6"/>
        <v>0</v>
      </c>
      <c r="O15" s="11">
        <f t="shared" si="7"/>
        <v>50</v>
      </c>
      <c r="P15" s="12">
        <f t="shared" si="8"/>
        <v>0</v>
      </c>
      <c r="Q15" s="13">
        <f t="shared" si="9"/>
        <v>0</v>
      </c>
      <c r="R15">
        <f aca="true" t="shared" si="16" ref="R15:R29">+IF(J$9&gt;0,J$9*N15*X15,0)</f>
        <v>0</v>
      </c>
      <c r="S15" s="154">
        <f t="shared" si="10"/>
        <v>0</v>
      </c>
      <c r="U15">
        <f>+U$14</f>
        <v>31.8</v>
      </c>
      <c r="V15">
        <f>+V14</f>
        <v>31.8</v>
      </c>
      <c r="W15">
        <f t="shared" si="11"/>
        <v>0</v>
      </c>
      <c r="X15" s="109">
        <f t="shared" si="12"/>
        <v>0</v>
      </c>
      <c r="Y15">
        <f aca="true" t="shared" si="17" ref="Y15:Y31">+IF(L15=0,0,D15)</f>
        <v>0</v>
      </c>
      <c r="Z15" s="14">
        <f>+IF(N15=0,0,U15*AQ$4*B$4*(1+AQ$5/2)+20+25)</f>
        <v>0</v>
      </c>
      <c r="AA15" s="58">
        <f t="shared" si="13"/>
        <v>0</v>
      </c>
      <c r="AB15" s="57">
        <f aca="true" t="shared" si="18" ref="AB15:AB31">+MIN(AA15,AC15)</f>
        <v>0</v>
      </c>
      <c r="AC15" s="14">
        <f aca="true" t="shared" si="19" ref="AC15:AC31">+IF(N15=0,0,U15/2*AQ$4*(B$4)+AQ$5*(B$4)+20+25)</f>
        <v>0</v>
      </c>
      <c r="AD15" s="57">
        <f t="shared" si="14"/>
        <v>0</v>
      </c>
      <c r="AE15">
        <f aca="true" t="shared" si="20" ref="AE15:AE32">IF(N15&gt;0,+V15/U15,0)</f>
        <v>0</v>
      </c>
    </row>
    <row r="16" spans="1:31" ht="12.75" customHeight="1" hidden="1">
      <c r="A16" s="9">
        <f>+B18+1</f>
        <v>42445</v>
      </c>
      <c r="B16" s="10">
        <f>+A16+66</f>
        <v>42511</v>
      </c>
      <c r="C16" s="8">
        <f>+B$64</f>
        <v>350.43600000000004</v>
      </c>
      <c r="D16" s="50">
        <f>+C16*0.7*AP$2</f>
        <v>294.36624</v>
      </c>
      <c r="E16" s="8">
        <f t="shared" si="15"/>
        <v>178.3694117647059</v>
      </c>
      <c r="F16" s="8">
        <f t="shared" si="0"/>
        <v>-230</v>
      </c>
      <c r="G16" s="8">
        <f t="shared" si="1"/>
        <v>-163</v>
      </c>
      <c r="H16" s="11">
        <f t="shared" si="2"/>
        <v>0</v>
      </c>
      <c r="I16" s="11">
        <f t="shared" si="2"/>
        <v>0</v>
      </c>
      <c r="J16" s="11">
        <f t="shared" si="3"/>
        <v>0</v>
      </c>
      <c r="K16" s="8">
        <f aca="true" t="shared" si="21" ref="K16:K30">+IF(F$5&lt;62,D16,C16)</f>
        <v>350.43600000000004</v>
      </c>
      <c r="L16" s="8">
        <f t="shared" si="4"/>
        <v>0</v>
      </c>
      <c r="M16" s="122">
        <f t="shared" si="5"/>
        <v>178.3694117647059</v>
      </c>
      <c r="N16" s="123">
        <f t="shared" si="6"/>
        <v>0</v>
      </c>
      <c r="O16" s="11">
        <f t="shared" si="7"/>
        <v>50</v>
      </c>
      <c r="P16" s="12">
        <f t="shared" si="8"/>
        <v>0</v>
      </c>
      <c r="Q16" s="13">
        <f t="shared" si="9"/>
        <v>0</v>
      </c>
      <c r="R16">
        <f t="shared" si="16"/>
        <v>0</v>
      </c>
      <c r="S16" s="154">
        <f t="shared" si="10"/>
        <v>0</v>
      </c>
      <c r="U16">
        <v>22.8</v>
      </c>
      <c r="V16">
        <v>29.8</v>
      </c>
      <c r="W16">
        <f t="shared" si="11"/>
        <v>7</v>
      </c>
      <c r="X16" s="109">
        <f t="shared" si="12"/>
        <v>0.30701754385964913</v>
      </c>
      <c r="Y16">
        <f t="shared" si="17"/>
        <v>0</v>
      </c>
      <c r="Z16" s="14">
        <f>+IF(N16=0,0,U16*AQ$4*B$4*(1+AQ$5/2)+20+25)</f>
        <v>0</v>
      </c>
      <c r="AA16" s="58">
        <f t="shared" si="13"/>
        <v>0</v>
      </c>
      <c r="AB16" s="57">
        <f t="shared" si="18"/>
        <v>0</v>
      </c>
      <c r="AC16" s="14">
        <f t="shared" si="19"/>
        <v>0</v>
      </c>
      <c r="AD16" s="57">
        <f t="shared" si="14"/>
        <v>0</v>
      </c>
      <c r="AE16">
        <f t="shared" si="20"/>
        <v>0</v>
      </c>
    </row>
    <row r="17" spans="1:31" ht="12.75" customHeight="1" hidden="1">
      <c r="A17" s="9">
        <f>+B14+1</f>
        <v>42644</v>
      </c>
      <c r="B17" s="10">
        <f>+A17+57</f>
        <v>42701</v>
      </c>
      <c r="C17" s="8">
        <f>+B$64</f>
        <v>350.43600000000004</v>
      </c>
      <c r="D17" s="50">
        <f>+C17*0.7*AP$2</f>
        <v>294.36624</v>
      </c>
      <c r="E17" s="8">
        <f t="shared" si="15"/>
        <v>178.3694117647059</v>
      </c>
      <c r="F17" s="8">
        <f t="shared" si="0"/>
        <v>-31</v>
      </c>
      <c r="G17" s="8">
        <f t="shared" si="1"/>
        <v>27</v>
      </c>
      <c r="H17" s="11">
        <f t="shared" si="2"/>
        <v>0</v>
      </c>
      <c r="I17" s="11">
        <f t="shared" si="2"/>
        <v>1</v>
      </c>
      <c r="J17" s="11">
        <f t="shared" si="3"/>
        <v>350.43600000000004</v>
      </c>
      <c r="K17" s="8">
        <f t="shared" si="21"/>
        <v>350.43600000000004</v>
      </c>
      <c r="L17" s="8">
        <f t="shared" si="4"/>
        <v>350.43600000000004</v>
      </c>
      <c r="M17" s="122">
        <f t="shared" si="5"/>
        <v>178.3694117647059</v>
      </c>
      <c r="N17" s="123">
        <f t="shared" si="6"/>
        <v>350.43600000000004</v>
      </c>
      <c r="O17" s="11">
        <f t="shared" si="7"/>
        <v>50</v>
      </c>
      <c r="P17" s="12">
        <f t="shared" si="8"/>
        <v>50</v>
      </c>
      <c r="Q17" s="13">
        <f t="shared" si="9"/>
        <v>42701</v>
      </c>
      <c r="R17">
        <f t="shared" si="16"/>
        <v>0</v>
      </c>
      <c r="S17" s="154">
        <f t="shared" si="10"/>
        <v>0</v>
      </c>
      <c r="U17">
        <f>+U$16</f>
        <v>22.8</v>
      </c>
      <c r="V17">
        <f>+V$16</f>
        <v>29.8</v>
      </c>
      <c r="W17">
        <f t="shared" si="11"/>
        <v>7</v>
      </c>
      <c r="X17" s="109">
        <f t="shared" si="12"/>
        <v>0.30701754385964913</v>
      </c>
      <c r="Y17">
        <f t="shared" si="17"/>
        <v>294.36624</v>
      </c>
      <c r="Z17" s="14">
        <f>+IF(N17=0,0,U17*AQ$4*B$4*(1+AQ$5/2)+20+25)</f>
        <v>1007.16</v>
      </c>
      <c r="AA17" s="58">
        <f t="shared" si="13"/>
        <v>1007.16</v>
      </c>
      <c r="AB17" s="57">
        <f t="shared" si="18"/>
        <v>501.55</v>
      </c>
      <c r="AC17" s="14">
        <f t="shared" si="19"/>
        <v>501.55</v>
      </c>
      <c r="AD17" s="57">
        <f t="shared" si="14"/>
        <v>1007.16</v>
      </c>
      <c r="AE17">
        <f t="shared" si="20"/>
        <v>1.3070175438596492</v>
      </c>
    </row>
    <row r="18" spans="1:31" ht="13.5" customHeight="1" hidden="1" thickBot="1">
      <c r="A18" s="61">
        <v>42372</v>
      </c>
      <c r="B18" s="10">
        <f>+A18+72</f>
        <v>42444</v>
      </c>
      <c r="C18" s="8">
        <f>+B$65</f>
        <v>180.20000000000002</v>
      </c>
      <c r="D18" s="50">
        <f>+C18*0.7*AP$2</f>
        <v>151.368</v>
      </c>
      <c r="E18" s="77">
        <f t="shared" si="15"/>
        <v>178.3694117647059</v>
      </c>
      <c r="F18" s="8">
        <f t="shared" si="0"/>
        <v>-303</v>
      </c>
      <c r="G18" s="8">
        <f t="shared" si="1"/>
        <v>-230</v>
      </c>
      <c r="H18" s="11">
        <f t="shared" si="2"/>
        <v>0</v>
      </c>
      <c r="I18" s="11">
        <f t="shared" si="2"/>
        <v>0</v>
      </c>
      <c r="J18" s="11">
        <f t="shared" si="3"/>
        <v>0</v>
      </c>
      <c r="K18" s="8">
        <f t="shared" si="21"/>
        <v>180.20000000000002</v>
      </c>
      <c r="L18" s="8">
        <f t="shared" si="4"/>
        <v>0</v>
      </c>
      <c r="M18" s="122">
        <f t="shared" si="5"/>
        <v>144.35999999999999</v>
      </c>
      <c r="N18" s="123">
        <f t="shared" si="6"/>
        <v>0</v>
      </c>
      <c r="O18" s="11">
        <f t="shared" si="7"/>
        <v>50</v>
      </c>
      <c r="P18" s="12">
        <f t="shared" si="8"/>
        <v>0</v>
      </c>
      <c r="Q18" s="13">
        <f t="shared" si="9"/>
        <v>0</v>
      </c>
      <c r="R18">
        <f>+IF(AND(J$9&gt;0,N18&gt;0),J$9*W18*$W$34,0)</f>
        <v>0</v>
      </c>
      <c r="S18" s="154">
        <f t="shared" si="10"/>
        <v>0</v>
      </c>
      <c r="U18">
        <v>10</v>
      </c>
      <c r="V18">
        <v>21.9</v>
      </c>
      <c r="W18">
        <f t="shared" si="11"/>
        <v>11.899999999999999</v>
      </c>
      <c r="X18" s="109">
        <f t="shared" si="12"/>
        <v>1.19</v>
      </c>
      <c r="Y18">
        <f t="shared" si="17"/>
        <v>0</v>
      </c>
      <c r="Z18" s="14">
        <f>+IF(N18=0,0,U18*AQ$4*B$4*(1+AQ$5/2)+20+25)</f>
        <v>0</v>
      </c>
      <c r="AA18" s="58">
        <f t="shared" si="13"/>
        <v>0</v>
      </c>
      <c r="AB18" s="57">
        <f t="shared" si="18"/>
        <v>0</v>
      </c>
      <c r="AC18" s="14">
        <f t="shared" si="19"/>
        <v>0</v>
      </c>
      <c r="AD18" s="57">
        <f t="shared" si="14"/>
        <v>0</v>
      </c>
      <c r="AE18">
        <f t="shared" si="20"/>
        <v>0</v>
      </c>
    </row>
    <row r="19" spans="1:31" ht="12.75" customHeight="1" hidden="1">
      <c r="A19" s="9">
        <f>+B17+1</f>
        <v>42702</v>
      </c>
      <c r="B19" s="10">
        <f>+A19+20</f>
        <v>42722</v>
      </c>
      <c r="C19" s="8">
        <f>+B$65</f>
        <v>180.20000000000002</v>
      </c>
      <c r="D19" s="50">
        <f>+C19*0.7*AP$2</f>
        <v>151.368</v>
      </c>
      <c r="E19" s="8">
        <f t="shared" si="15"/>
        <v>178.3694117647059</v>
      </c>
      <c r="F19" s="8">
        <f t="shared" si="0"/>
        <v>27</v>
      </c>
      <c r="G19" s="8">
        <f t="shared" si="1"/>
        <v>48</v>
      </c>
      <c r="H19" s="11">
        <f t="shared" si="2"/>
        <v>1</v>
      </c>
      <c r="I19" s="11">
        <f t="shared" si="2"/>
        <v>1</v>
      </c>
      <c r="J19" s="11">
        <f t="shared" si="3"/>
        <v>0</v>
      </c>
      <c r="K19" s="8">
        <f t="shared" si="21"/>
        <v>180.20000000000002</v>
      </c>
      <c r="L19" s="8">
        <f t="shared" si="4"/>
        <v>0</v>
      </c>
      <c r="M19" s="122">
        <f t="shared" si="5"/>
        <v>144.35999999999999</v>
      </c>
      <c r="N19" s="123">
        <f t="shared" si="6"/>
        <v>0</v>
      </c>
      <c r="O19" s="11">
        <f t="shared" si="7"/>
        <v>50</v>
      </c>
      <c r="P19" s="12">
        <f t="shared" si="8"/>
        <v>0</v>
      </c>
      <c r="Q19" s="13">
        <f t="shared" si="9"/>
        <v>0</v>
      </c>
      <c r="R19">
        <f>+IF(AND(J$9&gt;0,N19&gt;0),J$9*W19*$W$34,0)</f>
        <v>0</v>
      </c>
      <c r="S19" s="154">
        <f t="shared" si="10"/>
        <v>0</v>
      </c>
      <c r="U19">
        <f>+U$18</f>
        <v>10</v>
      </c>
      <c r="V19">
        <f>+V$18</f>
        <v>21.9</v>
      </c>
      <c r="W19">
        <f t="shared" si="11"/>
        <v>11.899999999999999</v>
      </c>
      <c r="X19" s="109">
        <f t="shared" si="12"/>
        <v>1.19</v>
      </c>
      <c r="Y19">
        <f t="shared" si="17"/>
        <v>0</v>
      </c>
      <c r="Z19" s="14">
        <f aca="true" t="shared" si="22" ref="Z19:Z32">+IF(N19=0,0,U19*AQ$4*B$4*(1+AQ$5/2)+20+25)</f>
        <v>0</v>
      </c>
      <c r="AA19" s="58">
        <f t="shared" si="13"/>
        <v>0</v>
      </c>
      <c r="AB19" s="57">
        <f t="shared" si="18"/>
        <v>0</v>
      </c>
      <c r="AC19" s="14">
        <f t="shared" si="19"/>
        <v>0</v>
      </c>
      <c r="AD19" s="57">
        <f t="shared" si="14"/>
        <v>0</v>
      </c>
      <c r="AE19">
        <f t="shared" si="20"/>
        <v>0</v>
      </c>
    </row>
    <row r="20" spans="1:31" ht="12.75" customHeight="1" hidden="1">
      <c r="A20" s="9">
        <f>+B15+1</f>
        <v>42738</v>
      </c>
      <c r="B20" s="10">
        <f>+A20+71</f>
        <v>42809</v>
      </c>
      <c r="C20" s="8">
        <f>+B$65</f>
        <v>180.20000000000002</v>
      </c>
      <c r="D20" s="50">
        <f aca="true" t="shared" si="23" ref="D20:D30">+C20*0.7*AP$2</f>
        <v>151.368</v>
      </c>
      <c r="E20" s="8">
        <f t="shared" si="15"/>
        <v>178.3694117647059</v>
      </c>
      <c r="F20" s="8">
        <f t="shared" si="0"/>
        <v>63</v>
      </c>
      <c r="G20" s="8">
        <f t="shared" si="1"/>
        <v>135</v>
      </c>
      <c r="H20" s="11">
        <f t="shared" si="2"/>
        <v>1</v>
      </c>
      <c r="I20" s="11">
        <f t="shared" si="2"/>
        <v>1</v>
      </c>
      <c r="J20" s="11">
        <f t="shared" si="3"/>
        <v>0</v>
      </c>
      <c r="K20" s="8">
        <f t="shared" si="21"/>
        <v>180.20000000000002</v>
      </c>
      <c r="L20" s="8">
        <f t="shared" si="4"/>
        <v>0</v>
      </c>
      <c r="M20" s="122">
        <f t="shared" si="5"/>
        <v>144.35999999999999</v>
      </c>
      <c r="N20" s="123">
        <f t="shared" si="6"/>
        <v>0</v>
      </c>
      <c r="O20" s="11">
        <f t="shared" si="7"/>
        <v>50</v>
      </c>
      <c r="P20" s="12">
        <f t="shared" si="8"/>
        <v>0</v>
      </c>
      <c r="Q20" s="13">
        <f t="shared" si="9"/>
        <v>0</v>
      </c>
      <c r="R20">
        <f>+IF(AND(J$9&gt;0,N20&gt;0),J$9*W20*$W$34,0)</f>
        <v>0</v>
      </c>
      <c r="S20" s="154">
        <f t="shared" si="10"/>
        <v>0</v>
      </c>
      <c r="U20">
        <f>+U$18</f>
        <v>10</v>
      </c>
      <c r="V20">
        <f>+V$18</f>
        <v>21.9</v>
      </c>
      <c r="W20">
        <f t="shared" si="11"/>
        <v>11.899999999999999</v>
      </c>
      <c r="X20" s="109">
        <f t="shared" si="12"/>
        <v>1.19</v>
      </c>
      <c r="Y20">
        <f t="shared" si="17"/>
        <v>0</v>
      </c>
      <c r="Z20" s="14">
        <f t="shared" si="22"/>
        <v>0</v>
      </c>
      <c r="AA20" s="58">
        <f t="shared" si="13"/>
        <v>0</v>
      </c>
      <c r="AB20" s="57">
        <f t="shared" si="18"/>
        <v>0</v>
      </c>
      <c r="AC20" s="14">
        <f t="shared" si="19"/>
        <v>0</v>
      </c>
      <c r="AD20" s="57">
        <f t="shared" si="14"/>
        <v>0</v>
      </c>
      <c r="AE20">
        <f t="shared" si="20"/>
        <v>0</v>
      </c>
    </row>
    <row r="21" spans="1:31" ht="12.75" customHeight="1" hidden="1">
      <c r="A21" s="9">
        <f>+B20+1</f>
        <v>42810</v>
      </c>
      <c r="B21" s="10">
        <f>+A21+66</f>
        <v>42876</v>
      </c>
      <c r="C21" s="8">
        <f>+B$64</f>
        <v>350.43600000000004</v>
      </c>
      <c r="D21" s="50">
        <f t="shared" si="23"/>
        <v>294.36624</v>
      </c>
      <c r="E21" s="8">
        <f t="shared" si="15"/>
        <v>178.3694117647059</v>
      </c>
      <c r="F21" s="8">
        <f t="shared" si="0"/>
        <v>135</v>
      </c>
      <c r="G21" s="8">
        <f t="shared" si="1"/>
        <v>202</v>
      </c>
      <c r="H21" s="11">
        <f t="shared" si="2"/>
        <v>1</v>
      </c>
      <c r="I21" s="11">
        <f t="shared" si="2"/>
        <v>1</v>
      </c>
      <c r="J21" s="11">
        <f t="shared" si="3"/>
        <v>0</v>
      </c>
      <c r="K21" s="8">
        <f t="shared" si="21"/>
        <v>350.43600000000004</v>
      </c>
      <c r="L21" s="8">
        <f t="shared" si="4"/>
        <v>0</v>
      </c>
      <c r="M21" s="122">
        <f t="shared" si="5"/>
        <v>178.3694117647059</v>
      </c>
      <c r="N21" s="123">
        <f t="shared" si="6"/>
        <v>0</v>
      </c>
      <c r="O21" s="11">
        <f t="shared" si="7"/>
        <v>50</v>
      </c>
      <c r="P21" s="12">
        <f t="shared" si="8"/>
        <v>0</v>
      </c>
      <c r="Q21" s="13">
        <f t="shared" si="9"/>
        <v>0</v>
      </c>
      <c r="R21">
        <f t="shared" si="16"/>
        <v>0</v>
      </c>
      <c r="S21" s="154">
        <f t="shared" si="10"/>
        <v>0</v>
      </c>
      <c r="U21">
        <f>+U$16</f>
        <v>22.8</v>
      </c>
      <c r="V21">
        <f>+V$16</f>
        <v>29.8</v>
      </c>
      <c r="W21">
        <f t="shared" si="11"/>
        <v>7</v>
      </c>
      <c r="X21" s="109">
        <f t="shared" si="12"/>
        <v>0.30701754385964913</v>
      </c>
      <c r="Y21">
        <f t="shared" si="17"/>
        <v>0</v>
      </c>
      <c r="Z21" s="14">
        <f t="shared" si="22"/>
        <v>0</v>
      </c>
      <c r="AA21" s="58">
        <f t="shared" si="13"/>
        <v>0</v>
      </c>
      <c r="AB21" s="57">
        <f t="shared" si="18"/>
        <v>0</v>
      </c>
      <c r="AC21" s="14">
        <f t="shared" si="19"/>
        <v>0</v>
      </c>
      <c r="AD21" s="57">
        <f t="shared" si="14"/>
        <v>0</v>
      </c>
      <c r="AE21">
        <f t="shared" si="20"/>
        <v>0</v>
      </c>
    </row>
    <row r="22" spans="1:31" ht="12.75" customHeight="1" hidden="1">
      <c r="A22" s="9">
        <f aca="true" t="shared" si="24" ref="A22:A30">+B21+1</f>
        <v>42877</v>
      </c>
      <c r="B22" s="10">
        <f>+A22+131</f>
        <v>43008</v>
      </c>
      <c r="C22" s="8">
        <f>+B$63</f>
        <v>471.91200000000003</v>
      </c>
      <c r="D22" s="8">
        <f>+C22*0.7</f>
        <v>330.3384</v>
      </c>
      <c r="E22" s="8">
        <f t="shared" si="15"/>
        <v>178.3694117647059</v>
      </c>
      <c r="F22" s="8">
        <f t="shared" si="0"/>
        <v>202</v>
      </c>
      <c r="G22" s="8">
        <f t="shared" si="1"/>
        <v>334</v>
      </c>
      <c r="H22" s="11">
        <f t="shared" si="2"/>
        <v>1</v>
      </c>
      <c r="I22" s="11">
        <f t="shared" si="2"/>
        <v>1</v>
      </c>
      <c r="J22" s="11">
        <f t="shared" si="3"/>
        <v>0</v>
      </c>
      <c r="K22" s="8">
        <f t="shared" si="21"/>
        <v>471.91200000000003</v>
      </c>
      <c r="L22" s="8">
        <f t="shared" si="4"/>
        <v>0</v>
      </c>
      <c r="M22" s="122">
        <f t="shared" si="5"/>
        <v>202.63764705882352</v>
      </c>
      <c r="N22" s="123">
        <f t="shared" si="6"/>
        <v>0</v>
      </c>
      <c r="O22" s="11">
        <f t="shared" si="7"/>
        <v>50</v>
      </c>
      <c r="P22" s="12">
        <f t="shared" si="8"/>
        <v>0</v>
      </c>
      <c r="Q22" s="13">
        <f t="shared" si="9"/>
        <v>0</v>
      </c>
      <c r="R22">
        <f t="shared" si="16"/>
        <v>0</v>
      </c>
      <c r="S22" s="154">
        <f t="shared" si="10"/>
        <v>0</v>
      </c>
      <c r="U22">
        <f>+U$14</f>
        <v>31.8</v>
      </c>
      <c r="V22">
        <f>+V$14</f>
        <v>31.8</v>
      </c>
      <c r="W22">
        <f t="shared" si="11"/>
        <v>0</v>
      </c>
      <c r="X22" s="109">
        <f t="shared" si="12"/>
        <v>0</v>
      </c>
      <c r="Y22">
        <f t="shared" si="17"/>
        <v>0</v>
      </c>
      <c r="Z22" s="14">
        <f t="shared" si="22"/>
        <v>0</v>
      </c>
      <c r="AA22" s="58">
        <f t="shared" si="13"/>
        <v>0</v>
      </c>
      <c r="AB22" s="57">
        <f t="shared" si="18"/>
        <v>0</v>
      </c>
      <c r="AC22" s="14">
        <f t="shared" si="19"/>
        <v>0</v>
      </c>
      <c r="AD22" s="57">
        <f t="shared" si="14"/>
        <v>0</v>
      </c>
      <c r="AE22">
        <f t="shared" si="20"/>
        <v>0</v>
      </c>
    </row>
    <row r="23" spans="1:31" ht="12.75" customHeight="1" hidden="1">
      <c r="A23" s="9">
        <f t="shared" si="24"/>
        <v>43009</v>
      </c>
      <c r="B23" s="10">
        <f>+A23+57</f>
        <v>43066</v>
      </c>
      <c r="C23" s="8">
        <f>+B$64</f>
        <v>350.43600000000004</v>
      </c>
      <c r="D23" s="50">
        <f t="shared" si="23"/>
        <v>294.36624</v>
      </c>
      <c r="E23" s="8">
        <f t="shared" si="15"/>
        <v>178.3694117647059</v>
      </c>
      <c r="F23" s="8">
        <f t="shared" si="0"/>
        <v>334</v>
      </c>
      <c r="G23" s="8">
        <f t="shared" si="1"/>
        <v>392</v>
      </c>
      <c r="H23" s="11">
        <f t="shared" si="2"/>
        <v>1</v>
      </c>
      <c r="I23" s="11">
        <f t="shared" si="2"/>
        <v>1</v>
      </c>
      <c r="J23" s="11">
        <f t="shared" si="3"/>
        <v>0</v>
      </c>
      <c r="K23" s="8">
        <f t="shared" si="21"/>
        <v>350.43600000000004</v>
      </c>
      <c r="L23" s="8">
        <f t="shared" si="4"/>
        <v>0</v>
      </c>
      <c r="M23" s="122">
        <f t="shared" si="5"/>
        <v>178.3694117647059</v>
      </c>
      <c r="N23" s="123">
        <f t="shared" si="6"/>
        <v>0</v>
      </c>
      <c r="O23" s="11">
        <f t="shared" si="7"/>
        <v>50</v>
      </c>
      <c r="P23" s="12">
        <f t="shared" si="8"/>
        <v>0</v>
      </c>
      <c r="Q23" s="13">
        <f t="shared" si="9"/>
        <v>0</v>
      </c>
      <c r="R23">
        <f t="shared" si="16"/>
        <v>0</v>
      </c>
      <c r="S23" s="154">
        <f t="shared" si="10"/>
        <v>0</v>
      </c>
      <c r="U23">
        <f>+U$16</f>
        <v>22.8</v>
      </c>
      <c r="V23">
        <f>+V$16</f>
        <v>29.8</v>
      </c>
      <c r="W23">
        <f t="shared" si="11"/>
        <v>7</v>
      </c>
      <c r="X23" s="109">
        <f t="shared" si="12"/>
        <v>0.30701754385964913</v>
      </c>
      <c r="Y23">
        <f t="shared" si="17"/>
        <v>0</v>
      </c>
      <c r="Z23" s="14">
        <f t="shared" si="22"/>
        <v>0</v>
      </c>
      <c r="AA23" s="58">
        <f t="shared" si="13"/>
        <v>0</v>
      </c>
      <c r="AB23" s="57">
        <f t="shared" si="18"/>
        <v>0</v>
      </c>
      <c r="AC23" s="14">
        <f t="shared" si="19"/>
        <v>0</v>
      </c>
      <c r="AD23" s="57">
        <f t="shared" si="14"/>
        <v>0</v>
      </c>
      <c r="AE23">
        <f t="shared" si="20"/>
        <v>0</v>
      </c>
    </row>
    <row r="24" spans="1:31" ht="12.75" customHeight="1" hidden="1">
      <c r="A24" s="9">
        <f t="shared" si="24"/>
        <v>43067</v>
      </c>
      <c r="B24" s="10">
        <f>+A24+20</f>
        <v>43087</v>
      </c>
      <c r="C24" s="8">
        <f>+B$65</f>
        <v>180.20000000000002</v>
      </c>
      <c r="D24" s="50">
        <f t="shared" si="23"/>
        <v>151.368</v>
      </c>
      <c r="E24" s="8">
        <f t="shared" si="15"/>
        <v>178.3694117647059</v>
      </c>
      <c r="F24" s="8">
        <f t="shared" si="0"/>
        <v>392</v>
      </c>
      <c r="G24" s="8">
        <f t="shared" si="1"/>
        <v>413</v>
      </c>
      <c r="H24" s="11">
        <f t="shared" si="2"/>
        <v>1</v>
      </c>
      <c r="I24" s="11">
        <f t="shared" si="2"/>
        <v>1</v>
      </c>
      <c r="J24" s="11">
        <f t="shared" si="3"/>
        <v>0</v>
      </c>
      <c r="K24" s="8">
        <f t="shared" si="21"/>
        <v>180.20000000000002</v>
      </c>
      <c r="L24" s="8">
        <f t="shared" si="4"/>
        <v>0</v>
      </c>
      <c r="M24" s="122">
        <f t="shared" si="5"/>
        <v>144.35999999999999</v>
      </c>
      <c r="N24" s="123">
        <f t="shared" si="6"/>
        <v>0</v>
      </c>
      <c r="O24" s="11">
        <f t="shared" si="7"/>
        <v>50</v>
      </c>
      <c r="P24" s="12">
        <f t="shared" si="8"/>
        <v>0</v>
      </c>
      <c r="Q24" s="13">
        <f t="shared" si="9"/>
        <v>0</v>
      </c>
      <c r="R24">
        <f>+IF(AND(J$9&gt;0,N24&gt;0),J$9*W24*$W$34,0)</f>
        <v>0</v>
      </c>
      <c r="S24" s="154">
        <f t="shared" si="10"/>
        <v>0</v>
      </c>
      <c r="U24">
        <f>+U$18</f>
        <v>10</v>
      </c>
      <c r="V24">
        <f>+V$18</f>
        <v>21.9</v>
      </c>
      <c r="W24">
        <f t="shared" si="11"/>
        <v>11.899999999999999</v>
      </c>
      <c r="X24" s="109">
        <f t="shared" si="12"/>
        <v>1.19</v>
      </c>
      <c r="Y24">
        <f t="shared" si="17"/>
        <v>0</v>
      </c>
      <c r="Z24" s="14">
        <f t="shared" si="22"/>
        <v>0</v>
      </c>
      <c r="AA24" s="58">
        <f t="shared" si="13"/>
        <v>0</v>
      </c>
      <c r="AB24" s="57">
        <f t="shared" si="18"/>
        <v>0</v>
      </c>
      <c r="AC24" s="14">
        <f t="shared" si="19"/>
        <v>0</v>
      </c>
      <c r="AD24" s="57">
        <f t="shared" si="14"/>
        <v>0</v>
      </c>
      <c r="AE24">
        <f t="shared" si="20"/>
        <v>0</v>
      </c>
    </row>
    <row r="25" spans="1:31" ht="12.75" customHeight="1" hidden="1">
      <c r="A25" s="9">
        <f t="shared" si="24"/>
        <v>43088</v>
      </c>
      <c r="B25" s="10">
        <f>+A25+14</f>
        <v>43102</v>
      </c>
      <c r="C25" s="8">
        <f>+B$63</f>
        <v>471.91200000000003</v>
      </c>
      <c r="D25" s="8">
        <f>+C25*0.7</f>
        <v>330.3384</v>
      </c>
      <c r="E25" s="8">
        <f t="shared" si="15"/>
        <v>178.3694117647059</v>
      </c>
      <c r="F25" s="8">
        <f t="shared" si="0"/>
        <v>413</v>
      </c>
      <c r="G25" s="8">
        <f t="shared" si="1"/>
        <v>428</v>
      </c>
      <c r="H25" s="11">
        <f t="shared" si="2"/>
        <v>1</v>
      </c>
      <c r="I25" s="11">
        <f t="shared" si="2"/>
        <v>1</v>
      </c>
      <c r="J25" s="11">
        <f t="shared" si="3"/>
        <v>0</v>
      </c>
      <c r="K25" s="8">
        <f t="shared" si="21"/>
        <v>471.91200000000003</v>
      </c>
      <c r="L25" s="8">
        <f t="shared" si="4"/>
        <v>0</v>
      </c>
      <c r="M25" s="122">
        <f t="shared" si="5"/>
        <v>202.63764705882352</v>
      </c>
      <c r="N25" s="123">
        <f t="shared" si="6"/>
        <v>0</v>
      </c>
      <c r="O25" s="11">
        <f t="shared" si="7"/>
        <v>50</v>
      </c>
      <c r="P25" s="12">
        <f t="shared" si="8"/>
        <v>0</v>
      </c>
      <c r="Q25" s="13">
        <f t="shared" si="9"/>
        <v>0</v>
      </c>
      <c r="R25">
        <f t="shared" si="16"/>
        <v>0</v>
      </c>
      <c r="S25" s="154">
        <f t="shared" si="10"/>
        <v>0</v>
      </c>
      <c r="U25">
        <f>+U$14</f>
        <v>31.8</v>
      </c>
      <c r="V25">
        <f>+V$14</f>
        <v>31.8</v>
      </c>
      <c r="W25">
        <f t="shared" si="11"/>
        <v>0</v>
      </c>
      <c r="X25" s="109">
        <f t="shared" si="12"/>
        <v>0</v>
      </c>
      <c r="Y25">
        <f t="shared" si="17"/>
        <v>0</v>
      </c>
      <c r="Z25" s="14">
        <f t="shared" si="22"/>
        <v>0</v>
      </c>
      <c r="AA25" s="58">
        <f t="shared" si="13"/>
        <v>0</v>
      </c>
      <c r="AB25" s="57">
        <f t="shared" si="18"/>
        <v>0</v>
      </c>
      <c r="AC25" s="14">
        <f t="shared" si="19"/>
        <v>0</v>
      </c>
      <c r="AD25" s="57">
        <f t="shared" si="14"/>
        <v>0</v>
      </c>
      <c r="AE25">
        <f t="shared" si="20"/>
        <v>0</v>
      </c>
    </row>
    <row r="26" spans="1:31" ht="12.75" customHeight="1" hidden="1">
      <c r="A26" s="9">
        <f t="shared" si="24"/>
        <v>43103</v>
      </c>
      <c r="B26" s="10">
        <f>+A26+71</f>
        <v>43174</v>
      </c>
      <c r="C26" s="8">
        <f>+B$65</f>
        <v>180.20000000000002</v>
      </c>
      <c r="D26" s="50">
        <f t="shared" si="23"/>
        <v>151.368</v>
      </c>
      <c r="E26" s="8">
        <f t="shared" si="15"/>
        <v>178.3694117647059</v>
      </c>
      <c r="F26" s="8">
        <f t="shared" si="0"/>
        <v>428</v>
      </c>
      <c r="G26" s="8">
        <f t="shared" si="1"/>
        <v>500</v>
      </c>
      <c r="H26" s="11">
        <f t="shared" si="2"/>
        <v>1</v>
      </c>
      <c r="I26" s="11">
        <f t="shared" si="2"/>
        <v>1</v>
      </c>
      <c r="J26" s="11">
        <f t="shared" si="3"/>
        <v>0</v>
      </c>
      <c r="K26" s="8">
        <f t="shared" si="21"/>
        <v>180.20000000000002</v>
      </c>
      <c r="L26" s="8">
        <f t="shared" si="4"/>
        <v>0</v>
      </c>
      <c r="M26" s="122">
        <f t="shared" si="5"/>
        <v>144.35999999999999</v>
      </c>
      <c r="N26" s="123">
        <f t="shared" si="6"/>
        <v>0</v>
      </c>
      <c r="O26" s="11">
        <f t="shared" si="7"/>
        <v>50</v>
      </c>
      <c r="P26" s="12">
        <f t="shared" si="8"/>
        <v>0</v>
      </c>
      <c r="Q26" s="13">
        <f t="shared" si="9"/>
        <v>0</v>
      </c>
      <c r="R26">
        <f>+IF(AND(J$9&gt;0,N26&gt;0),J$9*W26*$W$34,0)</f>
        <v>0</v>
      </c>
      <c r="S26" s="154">
        <f t="shared" si="10"/>
        <v>0</v>
      </c>
      <c r="U26">
        <f>+U$18</f>
        <v>10</v>
      </c>
      <c r="V26">
        <f>+V$18</f>
        <v>21.9</v>
      </c>
      <c r="W26">
        <f>+V26-U26</f>
        <v>11.899999999999999</v>
      </c>
      <c r="X26" s="109">
        <f>+W26/U26</f>
        <v>1.19</v>
      </c>
      <c r="Y26">
        <f t="shared" si="17"/>
        <v>0</v>
      </c>
      <c r="Z26" s="14">
        <f t="shared" si="22"/>
        <v>0</v>
      </c>
      <c r="AA26" s="58">
        <f t="shared" si="13"/>
        <v>0</v>
      </c>
      <c r="AB26" s="57">
        <f t="shared" si="18"/>
        <v>0</v>
      </c>
      <c r="AC26" s="14">
        <f t="shared" si="19"/>
        <v>0</v>
      </c>
      <c r="AD26" s="57">
        <f t="shared" si="14"/>
        <v>0</v>
      </c>
      <c r="AE26">
        <f t="shared" si="20"/>
        <v>0</v>
      </c>
    </row>
    <row r="27" spans="1:31" ht="12.75" customHeight="1" hidden="1">
      <c r="A27" s="9">
        <f t="shared" si="24"/>
        <v>43175</v>
      </c>
      <c r="B27" s="10">
        <f>+A27+66</f>
        <v>43241</v>
      </c>
      <c r="C27" s="8">
        <f>+B$64</f>
        <v>350.43600000000004</v>
      </c>
      <c r="D27" s="50">
        <f t="shared" si="23"/>
        <v>294.36624</v>
      </c>
      <c r="E27" s="8">
        <f t="shared" si="15"/>
        <v>178.3694117647059</v>
      </c>
      <c r="F27" s="8">
        <f t="shared" si="0"/>
        <v>500</v>
      </c>
      <c r="G27" s="8">
        <f t="shared" si="1"/>
        <v>567</v>
      </c>
      <c r="H27" s="11">
        <f t="shared" si="2"/>
        <v>1</v>
      </c>
      <c r="I27" s="11">
        <f t="shared" si="2"/>
        <v>1</v>
      </c>
      <c r="J27" s="11">
        <f t="shared" si="3"/>
        <v>0</v>
      </c>
      <c r="K27" s="8">
        <f t="shared" si="21"/>
        <v>350.43600000000004</v>
      </c>
      <c r="L27" s="8">
        <f t="shared" si="4"/>
        <v>0</v>
      </c>
      <c r="M27" s="122">
        <f t="shared" si="5"/>
        <v>178.3694117647059</v>
      </c>
      <c r="N27" s="123">
        <f t="shared" si="6"/>
        <v>0</v>
      </c>
      <c r="O27" s="11">
        <f t="shared" si="7"/>
        <v>50</v>
      </c>
      <c r="P27" s="12">
        <f t="shared" si="8"/>
        <v>0</v>
      </c>
      <c r="Q27" s="13">
        <f t="shared" si="9"/>
        <v>0</v>
      </c>
      <c r="R27">
        <f t="shared" si="16"/>
        <v>0</v>
      </c>
      <c r="S27" s="154">
        <f t="shared" si="10"/>
        <v>0</v>
      </c>
      <c r="U27">
        <f>+U$16</f>
        <v>22.8</v>
      </c>
      <c r="V27">
        <f>+V$16</f>
        <v>29.8</v>
      </c>
      <c r="W27">
        <f>+V27-U27</f>
        <v>7</v>
      </c>
      <c r="X27" s="109">
        <f>+W27/U27</f>
        <v>0.30701754385964913</v>
      </c>
      <c r="Y27">
        <f t="shared" si="17"/>
        <v>0</v>
      </c>
      <c r="Z27" s="14">
        <f t="shared" si="22"/>
        <v>0</v>
      </c>
      <c r="AA27" s="58">
        <f t="shared" si="13"/>
        <v>0</v>
      </c>
      <c r="AB27" s="57">
        <f t="shared" si="18"/>
        <v>0</v>
      </c>
      <c r="AC27" s="14">
        <f t="shared" si="19"/>
        <v>0</v>
      </c>
      <c r="AD27" s="57">
        <f t="shared" si="14"/>
        <v>0</v>
      </c>
      <c r="AE27">
        <f t="shared" si="20"/>
        <v>0</v>
      </c>
    </row>
    <row r="28" spans="1:31" ht="12.75" customHeight="1" hidden="1">
      <c r="A28" s="9">
        <f t="shared" si="24"/>
        <v>43242</v>
      </c>
      <c r="B28" s="10">
        <f>+A28+131</f>
        <v>43373</v>
      </c>
      <c r="C28" s="8">
        <f>+B$63</f>
        <v>471.91200000000003</v>
      </c>
      <c r="D28" s="8">
        <f>+C28*0.7</f>
        <v>330.3384</v>
      </c>
      <c r="E28" s="8">
        <f t="shared" si="15"/>
        <v>178.3694117647059</v>
      </c>
      <c r="F28" s="8">
        <f t="shared" si="0"/>
        <v>567</v>
      </c>
      <c r="G28" s="8">
        <f t="shared" si="1"/>
        <v>699</v>
      </c>
      <c r="H28" s="11">
        <f t="shared" si="2"/>
        <v>1</v>
      </c>
      <c r="I28" s="11">
        <f t="shared" si="2"/>
        <v>1</v>
      </c>
      <c r="J28" s="11">
        <f t="shared" si="3"/>
        <v>0</v>
      </c>
      <c r="K28" s="8">
        <f t="shared" si="21"/>
        <v>471.91200000000003</v>
      </c>
      <c r="L28" s="8">
        <f t="shared" si="4"/>
        <v>0</v>
      </c>
      <c r="M28" s="122">
        <f t="shared" si="5"/>
        <v>202.63764705882352</v>
      </c>
      <c r="N28" s="123">
        <f t="shared" si="6"/>
        <v>0</v>
      </c>
      <c r="O28" s="11">
        <f t="shared" si="7"/>
        <v>50</v>
      </c>
      <c r="P28" s="12">
        <f t="shared" si="8"/>
        <v>0</v>
      </c>
      <c r="Q28" s="13">
        <f t="shared" si="9"/>
        <v>0</v>
      </c>
      <c r="R28">
        <f t="shared" si="16"/>
        <v>0</v>
      </c>
      <c r="S28" s="154">
        <f t="shared" si="10"/>
        <v>0</v>
      </c>
      <c r="U28">
        <f>+U$14</f>
        <v>31.8</v>
      </c>
      <c r="V28">
        <f>+V$14</f>
        <v>31.8</v>
      </c>
      <c r="W28">
        <f>+V28-U28</f>
        <v>0</v>
      </c>
      <c r="X28" s="109">
        <f>+W28/U28</f>
        <v>0</v>
      </c>
      <c r="Y28">
        <f t="shared" si="17"/>
        <v>0</v>
      </c>
      <c r="Z28" s="14">
        <f t="shared" si="22"/>
        <v>0</v>
      </c>
      <c r="AA28" s="58">
        <f t="shared" si="13"/>
        <v>0</v>
      </c>
      <c r="AB28" s="57">
        <f t="shared" si="18"/>
        <v>0</v>
      </c>
      <c r="AC28" s="14">
        <f t="shared" si="19"/>
        <v>0</v>
      </c>
      <c r="AD28" s="57">
        <f t="shared" si="14"/>
        <v>0</v>
      </c>
      <c r="AE28">
        <f t="shared" si="20"/>
        <v>0</v>
      </c>
    </row>
    <row r="29" spans="1:31" ht="12.75" customHeight="1" hidden="1">
      <c r="A29" s="9">
        <f t="shared" si="24"/>
        <v>43374</v>
      </c>
      <c r="B29" s="10">
        <f>+A29+57</f>
        <v>43431</v>
      </c>
      <c r="C29" s="8">
        <f>+B$64</f>
        <v>350.43600000000004</v>
      </c>
      <c r="D29" s="50">
        <f t="shared" si="23"/>
        <v>294.36624</v>
      </c>
      <c r="E29" s="8">
        <f t="shared" si="15"/>
        <v>178.3694117647059</v>
      </c>
      <c r="F29" s="8">
        <f t="shared" si="0"/>
        <v>699</v>
      </c>
      <c r="G29" s="8">
        <f t="shared" si="1"/>
        <v>757</v>
      </c>
      <c r="H29" s="11">
        <f t="shared" si="2"/>
        <v>1</v>
      </c>
      <c r="I29" s="11">
        <f t="shared" si="2"/>
        <v>1</v>
      </c>
      <c r="J29" s="11">
        <f t="shared" si="3"/>
        <v>0</v>
      </c>
      <c r="K29" s="8">
        <f t="shared" si="21"/>
        <v>350.43600000000004</v>
      </c>
      <c r="L29" s="8">
        <f t="shared" si="4"/>
        <v>0</v>
      </c>
      <c r="M29" s="122">
        <f t="shared" si="5"/>
        <v>178.3694117647059</v>
      </c>
      <c r="N29" s="123">
        <f t="shared" si="6"/>
        <v>0</v>
      </c>
      <c r="O29" s="11">
        <f t="shared" si="7"/>
        <v>50</v>
      </c>
      <c r="P29" s="12">
        <f t="shared" si="8"/>
        <v>0</v>
      </c>
      <c r="Q29" s="13">
        <f t="shared" si="9"/>
        <v>0</v>
      </c>
      <c r="R29">
        <f t="shared" si="16"/>
        <v>0</v>
      </c>
      <c r="S29" s="154">
        <f t="shared" si="10"/>
        <v>0</v>
      </c>
      <c r="U29">
        <f>+U$16</f>
        <v>22.8</v>
      </c>
      <c r="V29">
        <f>+V$16</f>
        <v>29.8</v>
      </c>
      <c r="W29">
        <f>+V29-U29</f>
        <v>7</v>
      </c>
      <c r="X29" s="109">
        <f>+W29/U29</f>
        <v>0.30701754385964913</v>
      </c>
      <c r="Y29">
        <f t="shared" si="17"/>
        <v>0</v>
      </c>
      <c r="Z29" s="14">
        <f t="shared" si="22"/>
        <v>0</v>
      </c>
      <c r="AA29" s="58">
        <f t="shared" si="13"/>
        <v>0</v>
      </c>
      <c r="AB29" s="57">
        <f t="shared" si="18"/>
        <v>0</v>
      </c>
      <c r="AC29" s="14">
        <f t="shared" si="19"/>
        <v>0</v>
      </c>
      <c r="AD29" s="57">
        <f t="shared" si="14"/>
        <v>0</v>
      </c>
      <c r="AE29">
        <f t="shared" si="20"/>
        <v>0</v>
      </c>
    </row>
    <row r="30" spans="1:31" ht="12.75" customHeight="1" hidden="1">
      <c r="A30" s="9">
        <f t="shared" si="24"/>
        <v>43432</v>
      </c>
      <c r="B30" s="10">
        <f>+A30+20</f>
        <v>43452</v>
      </c>
      <c r="C30" s="8">
        <f>+B$65</f>
        <v>180.20000000000002</v>
      </c>
      <c r="D30" s="50">
        <f t="shared" si="23"/>
        <v>151.368</v>
      </c>
      <c r="E30" s="8">
        <f t="shared" si="15"/>
        <v>178.3694117647059</v>
      </c>
      <c r="F30" s="8">
        <f t="shared" si="0"/>
        <v>757</v>
      </c>
      <c r="G30" s="8">
        <f t="shared" si="1"/>
        <v>778</v>
      </c>
      <c r="H30" s="11">
        <f>+IF(F30&gt;0,1,0)</f>
        <v>1</v>
      </c>
      <c r="I30" s="11">
        <f>+IF(G30&gt;0,1,0)</f>
        <v>1</v>
      </c>
      <c r="J30" s="11">
        <f t="shared" si="3"/>
        <v>0</v>
      </c>
      <c r="K30" s="8">
        <f t="shared" si="21"/>
        <v>180.20000000000002</v>
      </c>
      <c r="L30" s="8">
        <f t="shared" si="4"/>
        <v>0</v>
      </c>
      <c r="M30" s="122">
        <f t="shared" si="5"/>
        <v>144.35999999999999</v>
      </c>
      <c r="N30" s="123">
        <f t="shared" si="6"/>
        <v>0</v>
      </c>
      <c r="O30" s="11">
        <f t="shared" si="7"/>
        <v>50</v>
      </c>
      <c r="P30" s="12">
        <f t="shared" si="8"/>
        <v>0</v>
      </c>
      <c r="Q30" s="13">
        <f t="shared" si="9"/>
        <v>0</v>
      </c>
      <c r="R30">
        <f>+IF(AND(J$9&gt;0,N30&gt;0),J$9*W30*$W$34,0)</f>
        <v>0</v>
      </c>
      <c r="S30" s="154">
        <f t="shared" si="10"/>
        <v>0</v>
      </c>
      <c r="U30">
        <f>+U$18</f>
        <v>10</v>
      </c>
      <c r="V30">
        <f>+V$18</f>
        <v>21.9</v>
      </c>
      <c r="W30">
        <f>+V30-U30</f>
        <v>11.899999999999999</v>
      </c>
      <c r="X30" s="109">
        <f>+W30/U30</f>
        <v>1.19</v>
      </c>
      <c r="Y30">
        <f t="shared" si="17"/>
        <v>0</v>
      </c>
      <c r="Z30" s="14">
        <f t="shared" si="22"/>
        <v>0</v>
      </c>
      <c r="AA30" s="58">
        <f t="shared" si="13"/>
        <v>0</v>
      </c>
      <c r="AB30" s="57">
        <f t="shared" si="18"/>
        <v>0</v>
      </c>
      <c r="AC30" s="14">
        <f t="shared" si="19"/>
        <v>0</v>
      </c>
      <c r="AD30" s="57">
        <f t="shared" si="14"/>
        <v>0</v>
      </c>
      <c r="AE30">
        <f t="shared" si="20"/>
        <v>0</v>
      </c>
    </row>
    <row r="31" spans="1:31" ht="12.75" customHeight="1" hidden="1">
      <c r="A31" s="9"/>
      <c r="B31" s="10"/>
      <c r="C31" s="8"/>
      <c r="D31" s="50"/>
      <c r="E31" s="8"/>
      <c r="F31" s="8"/>
      <c r="G31" s="8"/>
      <c r="H31" s="11"/>
      <c r="I31" s="11"/>
      <c r="J31" s="11"/>
      <c r="K31" s="8"/>
      <c r="L31" s="8"/>
      <c r="M31" s="123"/>
      <c r="N31" s="124"/>
      <c r="O31" s="11"/>
      <c r="P31" s="12"/>
      <c r="Q31" s="13"/>
      <c r="S31" s="154"/>
      <c r="X31" s="109"/>
      <c r="Y31">
        <f t="shared" si="17"/>
        <v>0</v>
      </c>
      <c r="Z31" s="14">
        <f t="shared" si="22"/>
        <v>0</v>
      </c>
      <c r="AA31" s="58">
        <f t="shared" si="13"/>
        <v>0</v>
      </c>
      <c r="AB31" s="57">
        <f t="shared" si="18"/>
        <v>0</v>
      </c>
      <c r="AC31" s="14">
        <f t="shared" si="19"/>
        <v>0</v>
      </c>
      <c r="AD31" s="57">
        <f t="shared" si="14"/>
        <v>0</v>
      </c>
      <c r="AE31">
        <f t="shared" si="20"/>
        <v>0</v>
      </c>
    </row>
    <row r="32" spans="1:31" ht="12.75" customHeight="1" hidden="1">
      <c r="A32" s="9"/>
      <c r="B32" s="10"/>
      <c r="C32" s="8"/>
      <c r="D32" s="50"/>
      <c r="E32" s="8"/>
      <c r="F32" s="8"/>
      <c r="G32" s="8"/>
      <c r="H32" s="11"/>
      <c r="I32" s="11"/>
      <c r="J32" s="11"/>
      <c r="K32" s="8"/>
      <c r="L32" s="8"/>
      <c r="M32" s="123"/>
      <c r="N32" s="124"/>
      <c r="O32" s="11"/>
      <c r="P32" s="12"/>
      <c r="Q32" s="13"/>
      <c r="S32" s="154"/>
      <c r="X32" s="109"/>
      <c r="Z32" s="14">
        <f t="shared" si="22"/>
        <v>0</v>
      </c>
      <c r="AA32" s="58"/>
      <c r="AB32" s="57"/>
      <c r="AC32" s="14"/>
      <c r="AD32" s="57"/>
      <c r="AE32">
        <f t="shared" si="20"/>
        <v>0</v>
      </c>
    </row>
    <row r="33" spans="1:26" ht="12.75" customHeight="1" hidden="1">
      <c r="A33" s="9"/>
      <c r="B33" s="10"/>
      <c r="C33" s="8"/>
      <c r="D33" s="50"/>
      <c r="E33" s="8"/>
      <c r="F33" s="8"/>
      <c r="G33" s="8"/>
      <c r="H33" s="11"/>
      <c r="I33" s="11"/>
      <c r="J33" s="11"/>
      <c r="K33" s="8"/>
      <c r="L33" s="8"/>
      <c r="M33" s="123"/>
      <c r="N33" s="124"/>
      <c r="O33" s="11"/>
      <c r="P33" s="12"/>
      <c r="Q33" s="13"/>
      <c r="S33" s="154"/>
      <c r="X33" s="109"/>
      <c r="Z33" s="14"/>
    </row>
    <row r="34" spans="1:31" ht="13.5" customHeight="1" hidden="1" thickBot="1">
      <c r="A34" s="15"/>
      <c r="B34" s="16"/>
      <c r="C34" s="17">
        <f>+MIN(C14:C18)</f>
        <v>180.20000000000002</v>
      </c>
      <c r="D34" s="17">
        <f>+MIN(D14:D18)</f>
        <v>151.368</v>
      </c>
      <c r="E34" s="17">
        <f>IF(K10=10,AVERAGE(E14:E30)*AL8,AVERAGE(E14:E30))</f>
        <v>178.36941176470594</v>
      </c>
      <c r="F34" s="100"/>
      <c r="G34" s="101">
        <f>+J34/C34+0.01</f>
        <v>1.9547058823529413</v>
      </c>
      <c r="H34" s="16"/>
      <c r="I34" s="16"/>
      <c r="J34" s="16">
        <f>SUM(J14:J30)</f>
        <v>350.43600000000004</v>
      </c>
      <c r="K34" s="16"/>
      <c r="L34" s="16">
        <f>SUM(L14:L30)</f>
        <v>350.43600000000004</v>
      </c>
      <c r="M34" s="125"/>
      <c r="N34" s="126">
        <f>SUM(N14:N30)</f>
        <v>350.43600000000004</v>
      </c>
      <c r="O34" s="16"/>
      <c r="P34" s="18">
        <f>SUM(P14:P30)</f>
        <v>50</v>
      </c>
      <c r="Q34" s="19">
        <f>SUM(Q14:Q30)+1</f>
        <v>42702</v>
      </c>
      <c r="S34" s="108">
        <f>IF(F5&lt;61,SUM(S14:S30)/2,SUM(S14:S30))</f>
        <v>0</v>
      </c>
      <c r="W34">
        <v>16</v>
      </c>
      <c r="Y34" s="17">
        <f>SUM(Y14:Y33)</f>
        <v>294.36624</v>
      </c>
      <c r="Z34" s="59"/>
      <c r="AA34" s="79">
        <f>SUM(AA14:AA33)+S34</f>
        <v>1007.16</v>
      </c>
      <c r="AB34" s="17">
        <f>SUM(AB14:AB33)</f>
        <v>501.55</v>
      </c>
      <c r="AC34" s="56"/>
      <c r="AD34" s="17">
        <f>SUM(AD14:AD33)</f>
        <v>1007.16</v>
      </c>
      <c r="AE34">
        <f>SUM(AE14:AE33)</f>
        <v>1.3070175438596492</v>
      </c>
    </row>
    <row r="35" spans="1:26" ht="13.5" customHeight="1" hidden="1" thickBot="1">
      <c r="A35" s="1"/>
      <c r="B35" s="20">
        <f>+Q34</f>
        <v>42702</v>
      </c>
      <c r="C35" s="1"/>
      <c r="D35" s="1"/>
      <c r="E35" s="60"/>
      <c r="F35" s="1"/>
      <c r="G35" s="1"/>
      <c r="H35" s="1"/>
      <c r="I35" s="1"/>
      <c r="J35" s="1"/>
      <c r="K35" s="1"/>
      <c r="L35" s="1"/>
      <c r="M35" s="80"/>
      <c r="N35" s="80"/>
      <c r="O35" s="1"/>
      <c r="P35" s="1"/>
      <c r="Q35" s="1"/>
      <c r="S35" s="2">
        <v>0.111</v>
      </c>
      <c r="W35" s="72"/>
      <c r="X35" s="72"/>
      <c r="Z35" s="72"/>
    </row>
    <row r="36" spans="1:17" ht="12.75" customHeight="1" hidden="1">
      <c r="A36" s="21">
        <f>+IF(Q34&lt;B3,1,0)</f>
        <v>0</v>
      </c>
      <c r="B36" s="4">
        <f>+B3</f>
        <v>42680</v>
      </c>
      <c r="C36" s="6"/>
      <c r="D36" s="6"/>
      <c r="E36" s="5"/>
      <c r="F36" s="6"/>
      <c r="G36" s="6"/>
      <c r="H36" s="6"/>
      <c r="I36" s="6"/>
      <c r="J36" s="6"/>
      <c r="K36" s="6"/>
      <c r="L36" s="6"/>
      <c r="M36" s="81"/>
      <c r="N36" s="81"/>
      <c r="O36" s="6"/>
      <c r="P36" s="6"/>
      <c r="Q36" s="48">
        <f aca="true" t="shared" si="25" ref="Q36:Q52">+IF(N36=0,0,B36)</f>
        <v>0</v>
      </c>
    </row>
    <row r="37" spans="1:30" ht="12.75" customHeight="1" hidden="1">
      <c r="A37" s="9">
        <f aca="true" t="shared" si="26" ref="A37:E46">+A14</f>
        <v>42512</v>
      </c>
      <c r="B37" s="10">
        <f t="shared" si="26"/>
        <v>42643</v>
      </c>
      <c r="C37" s="8">
        <f t="shared" si="26"/>
        <v>471.91200000000003</v>
      </c>
      <c r="D37" s="8">
        <f t="shared" si="26"/>
        <v>330.3384</v>
      </c>
      <c r="E37" s="8">
        <f t="shared" si="26"/>
        <v>178.3694117647059</v>
      </c>
      <c r="F37" s="8">
        <f>+A37-$B$35</f>
        <v>-190</v>
      </c>
      <c r="G37" s="8">
        <f>+B37-$B$35</f>
        <v>-59</v>
      </c>
      <c r="H37" s="11">
        <f aca="true" t="shared" si="27" ref="H37:I52">+IF(F37&gt;0,1,0)</f>
        <v>0</v>
      </c>
      <c r="I37" s="11">
        <f t="shared" si="27"/>
        <v>0</v>
      </c>
      <c r="J37" s="11">
        <f aca="true" t="shared" si="28" ref="J37:J52">+IF(H37+I37=1,C37,0)</f>
        <v>0</v>
      </c>
      <c r="K37" s="8">
        <f>+IF(F$5&lt;62,D37,C37)</f>
        <v>471.91200000000003</v>
      </c>
      <c r="L37" s="8">
        <f aca="true" t="shared" si="29" ref="L37:L52">+IF(J37=0,0,K37)</f>
        <v>0</v>
      </c>
      <c r="M37" s="76">
        <f>+L37</f>
        <v>0</v>
      </c>
      <c r="N37" s="76">
        <f>+M37</f>
        <v>0</v>
      </c>
      <c r="O37" s="11">
        <f aca="true" t="shared" si="30" ref="O37:O52">+IF(N37=L37,50,40)</f>
        <v>50</v>
      </c>
      <c r="P37" s="12">
        <f aca="true" t="shared" si="31" ref="P37:P52">+IF(N37=0,0,O37)</f>
        <v>0</v>
      </c>
      <c r="Q37" s="13">
        <f t="shared" si="25"/>
        <v>0</v>
      </c>
      <c r="R37">
        <f>+IF(J$9&gt;0,J$9*N37*X37,0)</f>
        <v>0</v>
      </c>
      <c r="S37" s="49">
        <f aca="true" t="shared" si="32" ref="S37:S53">+IF(P37=50,R37,R37*S$35)</f>
        <v>0</v>
      </c>
      <c r="U37">
        <v>31.8</v>
      </c>
      <c r="V37">
        <f>+U37</f>
        <v>31.8</v>
      </c>
      <c r="W37">
        <f aca="true" t="shared" si="33" ref="W37:W48">+V37-U37</f>
        <v>0</v>
      </c>
      <c r="X37" s="109">
        <f aca="true" t="shared" si="34" ref="X37:X48">+W37/U37</f>
        <v>0</v>
      </c>
      <c r="Y37">
        <f>+IF(L37=0,0,D37)</f>
        <v>0</v>
      </c>
      <c r="Z37" s="14">
        <f>+IF(OR(N37=0,C4=""),0,(U37*AQ$4*C$4*(1+AQ$5/2)))</f>
        <v>0</v>
      </c>
      <c r="AA37" s="58">
        <f aca="true" t="shared" si="35" ref="AA37:AA54">+IF(K37=D37,AC37,Z37)</f>
        <v>0</v>
      </c>
      <c r="AB37" s="57">
        <f>+MIN(AA37,AC37)</f>
        <v>0</v>
      </c>
      <c r="AC37" s="14">
        <f>IF(C$4="",0,+IF(N37=0,0,U37/2*AQ$4*(C$4)+AQ$5*(C$4)))</f>
        <v>0</v>
      </c>
      <c r="AD37" s="57">
        <f aca="true" t="shared" si="36" ref="AD37:AD54">+IF(P37=40,(E$68)*(B$3-B$2)+25,AA37)</f>
        <v>0</v>
      </c>
    </row>
    <row r="38" spans="1:30" ht="12.75" customHeight="1" hidden="1">
      <c r="A38" s="9">
        <f t="shared" si="26"/>
        <v>42723</v>
      </c>
      <c r="B38" s="10">
        <f t="shared" si="26"/>
        <v>42737</v>
      </c>
      <c r="C38" s="8">
        <f t="shared" si="26"/>
        <v>471.91200000000003</v>
      </c>
      <c r="D38" s="8">
        <f t="shared" si="26"/>
        <v>330.3384</v>
      </c>
      <c r="E38" s="8">
        <f t="shared" si="26"/>
        <v>178.3694117647059</v>
      </c>
      <c r="F38" s="8">
        <f aca="true" t="shared" si="37" ref="F38:G52">+A38-$B$35</f>
        <v>21</v>
      </c>
      <c r="G38" s="8">
        <f t="shared" si="37"/>
        <v>35</v>
      </c>
      <c r="H38" s="11">
        <f t="shared" si="27"/>
        <v>1</v>
      </c>
      <c r="I38" s="11">
        <f t="shared" si="27"/>
        <v>1</v>
      </c>
      <c r="J38" s="11">
        <f t="shared" si="28"/>
        <v>0</v>
      </c>
      <c r="K38" s="8">
        <f>+IF(F$5&lt;62,D38,C38)</f>
        <v>471.91200000000003</v>
      </c>
      <c r="L38" s="8">
        <f t="shared" si="29"/>
        <v>0</v>
      </c>
      <c r="M38" s="76">
        <f>+L38</f>
        <v>0</v>
      </c>
      <c r="N38" s="76">
        <f>+M38</f>
        <v>0</v>
      </c>
      <c r="O38" s="11">
        <f t="shared" si="30"/>
        <v>50</v>
      </c>
      <c r="P38" s="12">
        <f t="shared" si="31"/>
        <v>0</v>
      </c>
      <c r="Q38" s="13">
        <f t="shared" si="25"/>
        <v>0</v>
      </c>
      <c r="R38">
        <f aca="true" t="shared" si="38" ref="R38:R53">+IF(J$9&gt;0,J$9*N38*X38,0)</f>
        <v>0</v>
      </c>
      <c r="S38" s="49">
        <f t="shared" si="32"/>
        <v>0</v>
      </c>
      <c r="U38">
        <f>+U$14</f>
        <v>31.8</v>
      </c>
      <c r="V38">
        <f>+V37</f>
        <v>31.8</v>
      </c>
      <c r="W38">
        <f t="shared" si="33"/>
        <v>0</v>
      </c>
      <c r="X38" s="109">
        <f t="shared" si="34"/>
        <v>0</v>
      </c>
      <c r="Y38">
        <f aca="true" t="shared" si="39" ref="Y38:Y54">+IF(L38=0,0,D38)</f>
        <v>0</v>
      </c>
      <c r="Z38" s="14">
        <f aca="true" t="shared" si="40" ref="Z38:Z53">+IF(OR(N38=0,C5=""),0,(U38*AQ$4*C$4*(1+AQ$5/2)))</f>
        <v>0</v>
      </c>
      <c r="AA38" s="58">
        <f t="shared" si="35"/>
        <v>0</v>
      </c>
      <c r="AB38" s="57">
        <f aca="true" t="shared" si="41" ref="AB38:AB54">+MIN(AA38,AC38)</f>
        <v>0</v>
      </c>
      <c r="AC38" s="14">
        <f aca="true" t="shared" si="42" ref="AC38:AC54">IF(C$4="",0,+IF(N38=0,0,U38/2*AQ$4*(C$4)+AQ$5*(C$4)))</f>
        <v>0</v>
      </c>
      <c r="AD38" s="57">
        <f t="shared" si="36"/>
        <v>0</v>
      </c>
    </row>
    <row r="39" spans="1:30" ht="12.75" customHeight="1" hidden="1">
      <c r="A39" s="9">
        <f t="shared" si="26"/>
        <v>42445</v>
      </c>
      <c r="B39" s="10">
        <f t="shared" si="26"/>
        <v>42511</v>
      </c>
      <c r="C39" s="8">
        <f t="shared" si="26"/>
        <v>350.43600000000004</v>
      </c>
      <c r="D39" s="8">
        <f t="shared" si="26"/>
        <v>294.36624</v>
      </c>
      <c r="E39" s="8">
        <f t="shared" si="26"/>
        <v>178.3694117647059</v>
      </c>
      <c r="F39" s="8">
        <f t="shared" si="37"/>
        <v>-257</v>
      </c>
      <c r="G39" s="8">
        <f t="shared" si="37"/>
        <v>-191</v>
      </c>
      <c r="H39" s="11">
        <f t="shared" si="27"/>
        <v>0</v>
      </c>
      <c r="I39" s="11">
        <f t="shared" si="27"/>
        <v>0</v>
      </c>
      <c r="J39" s="11">
        <f t="shared" si="28"/>
        <v>0</v>
      </c>
      <c r="K39" s="8">
        <f aca="true" t="shared" si="43" ref="K39:K53">+IF(F$5&lt;62,D39,C39)</f>
        <v>350.43600000000004</v>
      </c>
      <c r="L39" s="8">
        <f t="shared" si="29"/>
        <v>0</v>
      </c>
      <c r="M39" s="76">
        <f aca="true" t="shared" si="44" ref="M39:N53">+L39</f>
        <v>0</v>
      </c>
      <c r="N39" s="76">
        <f t="shared" si="44"/>
        <v>0</v>
      </c>
      <c r="O39" s="11">
        <f t="shared" si="30"/>
        <v>50</v>
      </c>
      <c r="P39" s="12">
        <f t="shared" si="31"/>
        <v>0</v>
      </c>
      <c r="Q39" s="13">
        <f t="shared" si="25"/>
        <v>0</v>
      </c>
      <c r="R39">
        <f t="shared" si="38"/>
        <v>0</v>
      </c>
      <c r="S39" s="49">
        <f t="shared" si="32"/>
        <v>0</v>
      </c>
      <c r="U39">
        <v>22.8</v>
      </c>
      <c r="V39">
        <v>29.8</v>
      </c>
      <c r="W39">
        <f t="shared" si="33"/>
        <v>7</v>
      </c>
      <c r="X39" s="109">
        <f t="shared" si="34"/>
        <v>0.30701754385964913</v>
      </c>
      <c r="Y39">
        <f t="shared" si="39"/>
        <v>0</v>
      </c>
      <c r="Z39" s="14">
        <f t="shared" si="40"/>
        <v>0</v>
      </c>
      <c r="AA39" s="58">
        <f t="shared" si="35"/>
        <v>0</v>
      </c>
      <c r="AB39" s="57">
        <f t="shared" si="41"/>
        <v>0</v>
      </c>
      <c r="AC39" s="14">
        <f t="shared" si="42"/>
        <v>0</v>
      </c>
      <c r="AD39" s="57">
        <f t="shared" si="36"/>
        <v>0</v>
      </c>
    </row>
    <row r="40" spans="1:30" ht="12.75" customHeight="1" hidden="1">
      <c r="A40" s="9">
        <f t="shared" si="26"/>
        <v>42644</v>
      </c>
      <c r="B40" s="10">
        <f t="shared" si="26"/>
        <v>42701</v>
      </c>
      <c r="C40" s="8">
        <f t="shared" si="26"/>
        <v>350.43600000000004</v>
      </c>
      <c r="D40" s="8">
        <f t="shared" si="26"/>
        <v>294.36624</v>
      </c>
      <c r="E40" s="8">
        <f t="shared" si="26"/>
        <v>178.3694117647059</v>
      </c>
      <c r="F40" s="8">
        <f t="shared" si="37"/>
        <v>-58</v>
      </c>
      <c r="G40" s="8">
        <f t="shared" si="37"/>
        <v>-1</v>
      </c>
      <c r="H40" s="11">
        <f t="shared" si="27"/>
        <v>0</v>
      </c>
      <c r="I40" s="11">
        <f t="shared" si="27"/>
        <v>0</v>
      </c>
      <c r="J40" s="11">
        <f t="shared" si="28"/>
        <v>0</v>
      </c>
      <c r="K40" s="8">
        <f t="shared" si="43"/>
        <v>350.43600000000004</v>
      </c>
      <c r="L40" s="8">
        <f t="shared" si="29"/>
        <v>0</v>
      </c>
      <c r="M40" s="76">
        <f t="shared" si="44"/>
        <v>0</v>
      </c>
      <c r="N40" s="76">
        <f t="shared" si="44"/>
        <v>0</v>
      </c>
      <c r="O40" s="11">
        <f t="shared" si="30"/>
        <v>50</v>
      </c>
      <c r="P40" s="12">
        <f t="shared" si="31"/>
        <v>0</v>
      </c>
      <c r="Q40" s="13">
        <f t="shared" si="25"/>
        <v>0</v>
      </c>
      <c r="R40">
        <f t="shared" si="38"/>
        <v>0</v>
      </c>
      <c r="S40" s="49">
        <f t="shared" si="32"/>
        <v>0</v>
      </c>
      <c r="U40">
        <f>+U$16</f>
        <v>22.8</v>
      </c>
      <c r="V40">
        <f>+V$16</f>
        <v>29.8</v>
      </c>
      <c r="W40">
        <f t="shared" si="33"/>
        <v>7</v>
      </c>
      <c r="X40" s="109">
        <f t="shared" si="34"/>
        <v>0.30701754385964913</v>
      </c>
      <c r="Y40">
        <f t="shared" si="39"/>
        <v>0</v>
      </c>
      <c r="Z40" s="14">
        <f t="shared" si="40"/>
        <v>0</v>
      </c>
      <c r="AA40" s="58">
        <f t="shared" si="35"/>
        <v>0</v>
      </c>
      <c r="AB40" s="57">
        <f t="shared" si="41"/>
        <v>0</v>
      </c>
      <c r="AC40" s="14">
        <f t="shared" si="42"/>
        <v>0</v>
      </c>
      <c r="AD40" s="57">
        <f t="shared" si="36"/>
        <v>0</v>
      </c>
    </row>
    <row r="41" spans="1:30" ht="12.75" customHeight="1" hidden="1">
      <c r="A41" s="9">
        <f t="shared" si="26"/>
        <v>42372</v>
      </c>
      <c r="B41" s="10">
        <f t="shared" si="26"/>
        <v>42444</v>
      </c>
      <c r="C41" s="8">
        <f t="shared" si="26"/>
        <v>180.20000000000002</v>
      </c>
      <c r="D41" s="8">
        <f t="shared" si="26"/>
        <v>151.368</v>
      </c>
      <c r="E41" s="8">
        <f t="shared" si="26"/>
        <v>178.3694117647059</v>
      </c>
      <c r="F41" s="8">
        <f t="shared" si="37"/>
        <v>-330</v>
      </c>
      <c r="G41" s="8">
        <f t="shared" si="37"/>
        <v>-258</v>
      </c>
      <c r="H41" s="11">
        <f t="shared" si="27"/>
        <v>0</v>
      </c>
      <c r="I41" s="11">
        <f t="shared" si="27"/>
        <v>0</v>
      </c>
      <c r="J41" s="11">
        <f t="shared" si="28"/>
        <v>0</v>
      </c>
      <c r="K41" s="8">
        <f t="shared" si="43"/>
        <v>180.20000000000002</v>
      </c>
      <c r="L41" s="8">
        <f t="shared" si="29"/>
        <v>0</v>
      </c>
      <c r="M41" s="76">
        <f t="shared" si="44"/>
        <v>0</v>
      </c>
      <c r="N41" s="76">
        <f t="shared" si="44"/>
        <v>0</v>
      </c>
      <c r="O41" s="11">
        <f t="shared" si="30"/>
        <v>50</v>
      </c>
      <c r="P41" s="12">
        <f t="shared" si="31"/>
        <v>0</v>
      </c>
      <c r="Q41" s="13">
        <f t="shared" si="25"/>
        <v>0</v>
      </c>
      <c r="R41">
        <f t="shared" si="38"/>
        <v>0</v>
      </c>
      <c r="S41" s="49">
        <f t="shared" si="32"/>
        <v>0</v>
      </c>
      <c r="U41">
        <v>10</v>
      </c>
      <c r="V41">
        <v>21.9</v>
      </c>
      <c r="W41">
        <f t="shared" si="33"/>
        <v>11.899999999999999</v>
      </c>
      <c r="X41" s="109">
        <f t="shared" si="34"/>
        <v>1.19</v>
      </c>
      <c r="Y41">
        <f t="shared" si="39"/>
        <v>0</v>
      </c>
      <c r="Z41" s="14">
        <f t="shared" si="40"/>
        <v>0</v>
      </c>
      <c r="AA41" s="58">
        <f t="shared" si="35"/>
        <v>0</v>
      </c>
      <c r="AB41" s="57">
        <f t="shared" si="41"/>
        <v>0</v>
      </c>
      <c r="AC41" s="14">
        <f t="shared" si="42"/>
        <v>0</v>
      </c>
      <c r="AD41" s="57">
        <f t="shared" si="36"/>
        <v>0</v>
      </c>
    </row>
    <row r="42" spans="1:30" ht="12.75" customHeight="1" hidden="1">
      <c r="A42" s="9">
        <f t="shared" si="26"/>
        <v>42702</v>
      </c>
      <c r="B42" s="10">
        <f t="shared" si="26"/>
        <v>42722</v>
      </c>
      <c r="C42" s="8">
        <f t="shared" si="26"/>
        <v>180.20000000000002</v>
      </c>
      <c r="D42" s="8">
        <f t="shared" si="26"/>
        <v>151.368</v>
      </c>
      <c r="E42" s="8">
        <f t="shared" si="26"/>
        <v>178.3694117647059</v>
      </c>
      <c r="F42" s="8">
        <f t="shared" si="37"/>
        <v>0</v>
      </c>
      <c r="G42" s="8">
        <f t="shared" si="37"/>
        <v>20</v>
      </c>
      <c r="H42" s="11">
        <f t="shared" si="27"/>
        <v>0</v>
      </c>
      <c r="I42" s="11">
        <f t="shared" si="27"/>
        <v>1</v>
      </c>
      <c r="J42" s="11">
        <f t="shared" si="28"/>
        <v>180.20000000000002</v>
      </c>
      <c r="K42" s="8">
        <f t="shared" si="43"/>
        <v>180.20000000000002</v>
      </c>
      <c r="L42" s="8">
        <f t="shared" si="29"/>
        <v>180.20000000000002</v>
      </c>
      <c r="M42" s="76">
        <f t="shared" si="44"/>
        <v>180.20000000000002</v>
      </c>
      <c r="N42" s="76">
        <f t="shared" si="44"/>
        <v>180.20000000000002</v>
      </c>
      <c r="O42" s="11">
        <f t="shared" si="30"/>
        <v>50</v>
      </c>
      <c r="P42" s="12">
        <f t="shared" si="31"/>
        <v>50</v>
      </c>
      <c r="Q42" s="13">
        <f t="shared" si="25"/>
        <v>42722</v>
      </c>
      <c r="R42">
        <f t="shared" si="38"/>
        <v>0</v>
      </c>
      <c r="S42" s="49">
        <f t="shared" si="32"/>
        <v>0</v>
      </c>
      <c r="U42">
        <f>+U$18</f>
        <v>10</v>
      </c>
      <c r="V42">
        <f>+V$18</f>
        <v>21.9</v>
      </c>
      <c r="W42">
        <f t="shared" si="33"/>
        <v>11.899999999999999</v>
      </c>
      <c r="X42" s="109">
        <f t="shared" si="34"/>
        <v>1.19</v>
      </c>
      <c r="Y42">
        <f t="shared" si="39"/>
        <v>151.368</v>
      </c>
      <c r="Z42" s="14">
        <f t="shared" si="40"/>
        <v>0</v>
      </c>
      <c r="AA42" s="58">
        <f t="shared" si="35"/>
        <v>0</v>
      </c>
      <c r="AB42" s="57">
        <f t="shared" si="41"/>
        <v>0</v>
      </c>
      <c r="AC42" s="14">
        <f t="shared" si="42"/>
        <v>0</v>
      </c>
      <c r="AD42" s="57">
        <f t="shared" si="36"/>
        <v>0</v>
      </c>
    </row>
    <row r="43" spans="1:30" ht="12.75" customHeight="1" hidden="1">
      <c r="A43" s="9">
        <f t="shared" si="26"/>
        <v>42738</v>
      </c>
      <c r="B43" s="10">
        <f t="shared" si="26"/>
        <v>42809</v>
      </c>
      <c r="C43" s="8">
        <f t="shared" si="26"/>
        <v>180.20000000000002</v>
      </c>
      <c r="D43" s="8">
        <f t="shared" si="26"/>
        <v>151.368</v>
      </c>
      <c r="E43" s="8">
        <f t="shared" si="26"/>
        <v>178.3694117647059</v>
      </c>
      <c r="F43" s="8">
        <f t="shared" si="37"/>
        <v>36</v>
      </c>
      <c r="G43" s="8">
        <f t="shared" si="37"/>
        <v>107</v>
      </c>
      <c r="H43" s="11">
        <f t="shared" si="27"/>
        <v>1</v>
      </c>
      <c r="I43" s="11">
        <f t="shared" si="27"/>
        <v>1</v>
      </c>
      <c r="J43" s="11">
        <f t="shared" si="28"/>
        <v>0</v>
      </c>
      <c r="K43" s="8">
        <f t="shared" si="43"/>
        <v>180.20000000000002</v>
      </c>
      <c r="L43" s="8">
        <f t="shared" si="29"/>
        <v>0</v>
      </c>
      <c r="M43" s="76">
        <f t="shared" si="44"/>
        <v>0</v>
      </c>
      <c r="N43" s="76">
        <f t="shared" si="44"/>
        <v>0</v>
      </c>
      <c r="O43" s="11">
        <f t="shared" si="30"/>
        <v>50</v>
      </c>
      <c r="P43" s="12">
        <f t="shared" si="31"/>
        <v>0</v>
      </c>
      <c r="Q43" s="13">
        <f t="shared" si="25"/>
        <v>0</v>
      </c>
      <c r="R43">
        <f t="shared" si="38"/>
        <v>0</v>
      </c>
      <c r="S43" s="49">
        <f t="shared" si="32"/>
        <v>0</v>
      </c>
      <c r="U43">
        <f>+U$18</f>
        <v>10</v>
      </c>
      <c r="V43">
        <f>+V$18</f>
        <v>21.9</v>
      </c>
      <c r="W43">
        <f t="shared" si="33"/>
        <v>11.899999999999999</v>
      </c>
      <c r="X43" s="109">
        <f t="shared" si="34"/>
        <v>1.19</v>
      </c>
      <c r="Y43">
        <f t="shared" si="39"/>
        <v>0</v>
      </c>
      <c r="Z43" s="14">
        <f t="shared" si="40"/>
        <v>0</v>
      </c>
      <c r="AA43" s="58">
        <f t="shared" si="35"/>
        <v>0</v>
      </c>
      <c r="AB43" s="57">
        <f t="shared" si="41"/>
        <v>0</v>
      </c>
      <c r="AC43" s="14">
        <f t="shared" si="42"/>
        <v>0</v>
      </c>
      <c r="AD43" s="57">
        <f t="shared" si="36"/>
        <v>0</v>
      </c>
    </row>
    <row r="44" spans="1:30" ht="12.75" customHeight="1" hidden="1">
      <c r="A44" s="9">
        <f t="shared" si="26"/>
        <v>42810</v>
      </c>
      <c r="B44" s="10">
        <f t="shared" si="26"/>
        <v>42876</v>
      </c>
      <c r="C44" s="8">
        <f t="shared" si="26"/>
        <v>350.43600000000004</v>
      </c>
      <c r="D44" s="8">
        <f t="shared" si="26"/>
        <v>294.36624</v>
      </c>
      <c r="E44" s="8">
        <f t="shared" si="26"/>
        <v>178.3694117647059</v>
      </c>
      <c r="F44" s="8">
        <f t="shared" si="37"/>
        <v>108</v>
      </c>
      <c r="G44" s="8">
        <f t="shared" si="37"/>
        <v>174</v>
      </c>
      <c r="H44" s="11">
        <f t="shared" si="27"/>
        <v>1</v>
      </c>
      <c r="I44" s="11">
        <f t="shared" si="27"/>
        <v>1</v>
      </c>
      <c r="J44" s="11">
        <f t="shared" si="28"/>
        <v>0</v>
      </c>
      <c r="K44" s="8">
        <f t="shared" si="43"/>
        <v>350.43600000000004</v>
      </c>
      <c r="L44" s="8">
        <f t="shared" si="29"/>
        <v>0</v>
      </c>
      <c r="M44" s="76">
        <f t="shared" si="44"/>
        <v>0</v>
      </c>
      <c r="N44" s="76">
        <f t="shared" si="44"/>
        <v>0</v>
      </c>
      <c r="O44" s="11">
        <f t="shared" si="30"/>
        <v>50</v>
      </c>
      <c r="P44" s="12">
        <f t="shared" si="31"/>
        <v>0</v>
      </c>
      <c r="Q44" s="13">
        <f t="shared" si="25"/>
        <v>0</v>
      </c>
      <c r="R44">
        <f t="shared" si="38"/>
        <v>0</v>
      </c>
      <c r="S44" s="49">
        <f t="shared" si="32"/>
        <v>0</v>
      </c>
      <c r="U44">
        <f>+U$16</f>
        <v>22.8</v>
      </c>
      <c r="V44">
        <f>+V$16</f>
        <v>29.8</v>
      </c>
      <c r="W44">
        <f t="shared" si="33"/>
        <v>7</v>
      </c>
      <c r="X44" s="109">
        <f t="shared" si="34"/>
        <v>0.30701754385964913</v>
      </c>
      <c r="Y44">
        <f t="shared" si="39"/>
        <v>0</v>
      </c>
      <c r="Z44" s="14">
        <f t="shared" si="40"/>
        <v>0</v>
      </c>
      <c r="AA44" s="58">
        <f t="shared" si="35"/>
        <v>0</v>
      </c>
      <c r="AB44" s="57">
        <f t="shared" si="41"/>
        <v>0</v>
      </c>
      <c r="AC44" s="14">
        <f t="shared" si="42"/>
        <v>0</v>
      </c>
      <c r="AD44" s="57">
        <f t="shared" si="36"/>
        <v>0</v>
      </c>
    </row>
    <row r="45" spans="1:30" ht="12.75" customHeight="1" hidden="1">
      <c r="A45" s="9">
        <f t="shared" si="26"/>
        <v>42877</v>
      </c>
      <c r="B45" s="10">
        <f t="shared" si="26"/>
        <v>43008</v>
      </c>
      <c r="C45" s="8">
        <f t="shared" si="26"/>
        <v>471.91200000000003</v>
      </c>
      <c r="D45" s="8">
        <f t="shared" si="26"/>
        <v>330.3384</v>
      </c>
      <c r="E45" s="8">
        <f t="shared" si="26"/>
        <v>178.3694117647059</v>
      </c>
      <c r="F45" s="8">
        <f t="shared" si="37"/>
        <v>175</v>
      </c>
      <c r="G45" s="8">
        <f t="shared" si="37"/>
        <v>306</v>
      </c>
      <c r="H45" s="11">
        <f t="shared" si="27"/>
        <v>1</v>
      </c>
      <c r="I45" s="11">
        <f t="shared" si="27"/>
        <v>1</v>
      </c>
      <c r="J45" s="11">
        <f t="shared" si="28"/>
        <v>0</v>
      </c>
      <c r="K45" s="8">
        <f t="shared" si="43"/>
        <v>471.91200000000003</v>
      </c>
      <c r="L45" s="8">
        <f t="shared" si="29"/>
        <v>0</v>
      </c>
      <c r="M45" s="76">
        <f t="shared" si="44"/>
        <v>0</v>
      </c>
      <c r="N45" s="76">
        <f t="shared" si="44"/>
        <v>0</v>
      </c>
      <c r="O45" s="11">
        <f t="shared" si="30"/>
        <v>50</v>
      </c>
      <c r="P45" s="12">
        <f t="shared" si="31"/>
        <v>0</v>
      </c>
      <c r="Q45" s="13">
        <f t="shared" si="25"/>
        <v>0</v>
      </c>
      <c r="R45">
        <f t="shared" si="38"/>
        <v>0</v>
      </c>
      <c r="S45" s="49">
        <f t="shared" si="32"/>
        <v>0</v>
      </c>
      <c r="U45">
        <f>+U$14</f>
        <v>31.8</v>
      </c>
      <c r="V45">
        <f>+V$14</f>
        <v>31.8</v>
      </c>
      <c r="W45">
        <f t="shared" si="33"/>
        <v>0</v>
      </c>
      <c r="X45" s="109">
        <f t="shared" si="34"/>
        <v>0</v>
      </c>
      <c r="Y45">
        <f t="shared" si="39"/>
        <v>0</v>
      </c>
      <c r="Z45" s="14">
        <f t="shared" si="40"/>
        <v>0</v>
      </c>
      <c r="AA45" s="58">
        <f t="shared" si="35"/>
        <v>0</v>
      </c>
      <c r="AB45" s="57">
        <f t="shared" si="41"/>
        <v>0</v>
      </c>
      <c r="AC45" s="14">
        <f t="shared" si="42"/>
        <v>0</v>
      </c>
      <c r="AD45" s="57">
        <f t="shared" si="36"/>
        <v>0</v>
      </c>
    </row>
    <row r="46" spans="1:30" ht="12.75" customHeight="1" hidden="1">
      <c r="A46" s="9">
        <f t="shared" si="26"/>
        <v>43009</v>
      </c>
      <c r="B46" s="10">
        <f t="shared" si="26"/>
        <v>43066</v>
      </c>
      <c r="C46" s="8">
        <f t="shared" si="26"/>
        <v>350.43600000000004</v>
      </c>
      <c r="D46" s="8">
        <f t="shared" si="26"/>
        <v>294.36624</v>
      </c>
      <c r="E46" s="8">
        <f t="shared" si="26"/>
        <v>178.3694117647059</v>
      </c>
      <c r="F46" s="8">
        <f t="shared" si="37"/>
        <v>307</v>
      </c>
      <c r="G46" s="8">
        <f t="shared" si="37"/>
        <v>364</v>
      </c>
      <c r="H46" s="11">
        <f t="shared" si="27"/>
        <v>1</v>
      </c>
      <c r="I46" s="11">
        <f t="shared" si="27"/>
        <v>1</v>
      </c>
      <c r="J46" s="11">
        <f t="shared" si="28"/>
        <v>0</v>
      </c>
      <c r="K46" s="8">
        <f t="shared" si="43"/>
        <v>350.43600000000004</v>
      </c>
      <c r="L46" s="8">
        <f t="shared" si="29"/>
        <v>0</v>
      </c>
      <c r="M46" s="76">
        <f t="shared" si="44"/>
        <v>0</v>
      </c>
      <c r="N46" s="76">
        <f t="shared" si="44"/>
        <v>0</v>
      </c>
      <c r="O46" s="11">
        <f t="shared" si="30"/>
        <v>50</v>
      </c>
      <c r="P46" s="12">
        <f t="shared" si="31"/>
        <v>0</v>
      </c>
      <c r="Q46" s="13">
        <f t="shared" si="25"/>
        <v>0</v>
      </c>
      <c r="R46">
        <f t="shared" si="38"/>
        <v>0</v>
      </c>
      <c r="S46" s="49">
        <f t="shared" si="32"/>
        <v>0</v>
      </c>
      <c r="U46">
        <f>+U$16</f>
        <v>22.8</v>
      </c>
      <c r="V46">
        <f>+V$16</f>
        <v>29.8</v>
      </c>
      <c r="W46">
        <f t="shared" si="33"/>
        <v>7</v>
      </c>
      <c r="X46" s="109">
        <f t="shared" si="34"/>
        <v>0.30701754385964913</v>
      </c>
      <c r="Y46">
        <f t="shared" si="39"/>
        <v>0</v>
      </c>
      <c r="Z46" s="14">
        <f t="shared" si="40"/>
        <v>0</v>
      </c>
      <c r="AA46" s="58">
        <f t="shared" si="35"/>
        <v>0</v>
      </c>
      <c r="AB46" s="57">
        <f t="shared" si="41"/>
        <v>0</v>
      </c>
      <c r="AC46" s="14">
        <f t="shared" si="42"/>
        <v>0</v>
      </c>
      <c r="AD46" s="57">
        <f t="shared" si="36"/>
        <v>0</v>
      </c>
    </row>
    <row r="47" spans="1:30" ht="12.75" customHeight="1" hidden="1">
      <c r="A47" s="9">
        <f aca="true" t="shared" si="45" ref="A47:E52">+A24</f>
        <v>43067</v>
      </c>
      <c r="B47" s="10">
        <f t="shared" si="45"/>
        <v>43087</v>
      </c>
      <c r="C47" s="8">
        <f t="shared" si="45"/>
        <v>180.20000000000002</v>
      </c>
      <c r="D47" s="8">
        <f t="shared" si="45"/>
        <v>151.368</v>
      </c>
      <c r="E47" s="8">
        <f t="shared" si="45"/>
        <v>178.3694117647059</v>
      </c>
      <c r="F47" s="8">
        <f t="shared" si="37"/>
        <v>365</v>
      </c>
      <c r="G47" s="8">
        <f t="shared" si="37"/>
        <v>385</v>
      </c>
      <c r="H47" s="11">
        <f t="shared" si="27"/>
        <v>1</v>
      </c>
      <c r="I47" s="11">
        <f t="shared" si="27"/>
        <v>1</v>
      </c>
      <c r="J47" s="11">
        <f t="shared" si="28"/>
        <v>0</v>
      </c>
      <c r="K47" s="8">
        <f t="shared" si="43"/>
        <v>180.20000000000002</v>
      </c>
      <c r="L47" s="8">
        <f t="shared" si="29"/>
        <v>0</v>
      </c>
      <c r="M47" s="76">
        <f t="shared" si="44"/>
        <v>0</v>
      </c>
      <c r="N47" s="76">
        <f t="shared" si="44"/>
        <v>0</v>
      </c>
      <c r="O47" s="11">
        <f t="shared" si="30"/>
        <v>50</v>
      </c>
      <c r="P47" s="12">
        <f t="shared" si="31"/>
        <v>0</v>
      </c>
      <c r="Q47" s="13">
        <f t="shared" si="25"/>
        <v>0</v>
      </c>
      <c r="R47">
        <f t="shared" si="38"/>
        <v>0</v>
      </c>
      <c r="S47" s="49">
        <f t="shared" si="32"/>
        <v>0</v>
      </c>
      <c r="U47">
        <f>+U$18</f>
        <v>10</v>
      </c>
      <c r="V47">
        <f>+V$18</f>
        <v>21.9</v>
      </c>
      <c r="W47">
        <f t="shared" si="33"/>
        <v>11.899999999999999</v>
      </c>
      <c r="X47" s="109">
        <f t="shared" si="34"/>
        <v>1.19</v>
      </c>
      <c r="Y47">
        <f t="shared" si="39"/>
        <v>0</v>
      </c>
      <c r="Z47" s="14">
        <f t="shared" si="40"/>
        <v>0</v>
      </c>
      <c r="AA47" s="58">
        <f t="shared" si="35"/>
        <v>0</v>
      </c>
      <c r="AB47" s="57">
        <f t="shared" si="41"/>
        <v>0</v>
      </c>
      <c r="AC47" s="14">
        <f t="shared" si="42"/>
        <v>0</v>
      </c>
      <c r="AD47" s="57">
        <f t="shared" si="36"/>
        <v>0</v>
      </c>
    </row>
    <row r="48" spans="1:30" ht="12.75" customHeight="1" hidden="1">
      <c r="A48" s="9">
        <f t="shared" si="45"/>
        <v>43088</v>
      </c>
      <c r="B48" s="10">
        <f t="shared" si="45"/>
        <v>43102</v>
      </c>
      <c r="C48" s="8">
        <f t="shared" si="45"/>
        <v>471.91200000000003</v>
      </c>
      <c r="D48" s="8">
        <f t="shared" si="45"/>
        <v>330.3384</v>
      </c>
      <c r="E48" s="8">
        <f t="shared" si="45"/>
        <v>178.3694117647059</v>
      </c>
      <c r="F48" s="8">
        <f t="shared" si="37"/>
        <v>386</v>
      </c>
      <c r="G48" s="8">
        <f t="shared" si="37"/>
        <v>400</v>
      </c>
      <c r="H48" s="11">
        <f t="shared" si="27"/>
        <v>1</v>
      </c>
      <c r="I48" s="11">
        <f t="shared" si="27"/>
        <v>1</v>
      </c>
      <c r="J48" s="11">
        <f t="shared" si="28"/>
        <v>0</v>
      </c>
      <c r="K48" s="8">
        <f t="shared" si="43"/>
        <v>471.91200000000003</v>
      </c>
      <c r="L48" s="8">
        <f t="shared" si="29"/>
        <v>0</v>
      </c>
      <c r="M48" s="76">
        <f t="shared" si="44"/>
        <v>0</v>
      </c>
      <c r="N48" s="76">
        <f t="shared" si="44"/>
        <v>0</v>
      </c>
      <c r="O48" s="11">
        <f t="shared" si="30"/>
        <v>50</v>
      </c>
      <c r="P48" s="12">
        <f t="shared" si="31"/>
        <v>0</v>
      </c>
      <c r="Q48" s="13">
        <f t="shared" si="25"/>
        <v>0</v>
      </c>
      <c r="R48">
        <f t="shared" si="38"/>
        <v>0</v>
      </c>
      <c r="S48" s="49">
        <f t="shared" si="32"/>
        <v>0</v>
      </c>
      <c r="U48">
        <f>+U$14</f>
        <v>31.8</v>
      </c>
      <c r="V48">
        <f>+V$14</f>
        <v>31.8</v>
      </c>
      <c r="W48">
        <f t="shared" si="33"/>
        <v>0</v>
      </c>
      <c r="X48" s="109">
        <f t="shared" si="34"/>
        <v>0</v>
      </c>
      <c r="Y48">
        <f t="shared" si="39"/>
        <v>0</v>
      </c>
      <c r="Z48" s="14">
        <f t="shared" si="40"/>
        <v>0</v>
      </c>
      <c r="AA48" s="58">
        <f t="shared" si="35"/>
        <v>0</v>
      </c>
      <c r="AB48" s="57">
        <f t="shared" si="41"/>
        <v>0</v>
      </c>
      <c r="AC48" s="14">
        <f t="shared" si="42"/>
        <v>0</v>
      </c>
      <c r="AD48" s="57">
        <f t="shared" si="36"/>
        <v>0</v>
      </c>
    </row>
    <row r="49" spans="1:30" ht="12.75" customHeight="1" hidden="1">
      <c r="A49" s="9">
        <f t="shared" si="45"/>
        <v>43103</v>
      </c>
      <c r="B49" s="10">
        <f t="shared" si="45"/>
        <v>43174</v>
      </c>
      <c r="C49" s="8">
        <f t="shared" si="45"/>
        <v>180.20000000000002</v>
      </c>
      <c r="D49" s="8">
        <f t="shared" si="45"/>
        <v>151.368</v>
      </c>
      <c r="E49" s="8">
        <f t="shared" si="45"/>
        <v>178.3694117647059</v>
      </c>
      <c r="F49" s="8">
        <f t="shared" si="37"/>
        <v>401</v>
      </c>
      <c r="G49" s="8">
        <f t="shared" si="37"/>
        <v>472</v>
      </c>
      <c r="H49" s="11">
        <f t="shared" si="27"/>
        <v>1</v>
      </c>
      <c r="I49" s="11">
        <f t="shared" si="27"/>
        <v>1</v>
      </c>
      <c r="J49" s="11">
        <f t="shared" si="28"/>
        <v>0</v>
      </c>
      <c r="K49" s="8">
        <f t="shared" si="43"/>
        <v>180.20000000000002</v>
      </c>
      <c r="L49" s="8">
        <f t="shared" si="29"/>
        <v>0</v>
      </c>
      <c r="M49" s="76">
        <f t="shared" si="44"/>
        <v>0</v>
      </c>
      <c r="N49" s="76">
        <f t="shared" si="44"/>
        <v>0</v>
      </c>
      <c r="O49" s="11">
        <f t="shared" si="30"/>
        <v>50</v>
      </c>
      <c r="P49" s="12">
        <f t="shared" si="31"/>
        <v>0</v>
      </c>
      <c r="Q49" s="13">
        <f t="shared" si="25"/>
        <v>0</v>
      </c>
      <c r="R49">
        <f t="shared" si="38"/>
        <v>0</v>
      </c>
      <c r="S49" s="49">
        <f t="shared" si="32"/>
        <v>0</v>
      </c>
      <c r="U49">
        <f>+U$18</f>
        <v>10</v>
      </c>
      <c r="V49">
        <f>+V$18</f>
        <v>21.9</v>
      </c>
      <c r="W49">
        <f>+V49-U49</f>
        <v>11.899999999999999</v>
      </c>
      <c r="X49" s="109">
        <f>+W49/U49</f>
        <v>1.19</v>
      </c>
      <c r="Y49">
        <f t="shared" si="39"/>
        <v>0</v>
      </c>
      <c r="Z49" s="14">
        <f t="shared" si="40"/>
        <v>0</v>
      </c>
      <c r="AA49" s="58">
        <f t="shared" si="35"/>
        <v>0</v>
      </c>
      <c r="AB49" s="57">
        <f t="shared" si="41"/>
        <v>0</v>
      </c>
      <c r="AC49" s="14">
        <f t="shared" si="42"/>
        <v>0</v>
      </c>
      <c r="AD49" s="57">
        <f t="shared" si="36"/>
        <v>0</v>
      </c>
    </row>
    <row r="50" spans="1:30" ht="12.75" customHeight="1" hidden="1">
      <c r="A50" s="9">
        <f t="shared" si="45"/>
        <v>43175</v>
      </c>
      <c r="B50" s="10">
        <f t="shared" si="45"/>
        <v>43241</v>
      </c>
      <c r="C50" s="8">
        <f t="shared" si="45"/>
        <v>350.43600000000004</v>
      </c>
      <c r="D50" s="8">
        <f t="shared" si="45"/>
        <v>294.36624</v>
      </c>
      <c r="E50" s="8">
        <f t="shared" si="45"/>
        <v>178.3694117647059</v>
      </c>
      <c r="F50" s="8">
        <f t="shared" si="37"/>
        <v>473</v>
      </c>
      <c r="G50" s="8">
        <f t="shared" si="37"/>
        <v>539</v>
      </c>
      <c r="H50" s="11">
        <f t="shared" si="27"/>
        <v>1</v>
      </c>
      <c r="I50" s="11">
        <f t="shared" si="27"/>
        <v>1</v>
      </c>
      <c r="J50" s="11">
        <f t="shared" si="28"/>
        <v>0</v>
      </c>
      <c r="K50" s="8">
        <f t="shared" si="43"/>
        <v>350.43600000000004</v>
      </c>
      <c r="L50" s="8">
        <f t="shared" si="29"/>
        <v>0</v>
      </c>
      <c r="M50" s="76">
        <f t="shared" si="44"/>
        <v>0</v>
      </c>
      <c r="N50" s="76">
        <f t="shared" si="44"/>
        <v>0</v>
      </c>
      <c r="O50" s="11">
        <f t="shared" si="30"/>
        <v>50</v>
      </c>
      <c r="P50" s="12">
        <f t="shared" si="31"/>
        <v>0</v>
      </c>
      <c r="Q50" s="13">
        <f t="shared" si="25"/>
        <v>0</v>
      </c>
      <c r="R50">
        <f t="shared" si="38"/>
        <v>0</v>
      </c>
      <c r="S50" s="49">
        <f t="shared" si="32"/>
        <v>0</v>
      </c>
      <c r="U50">
        <f>+U$16</f>
        <v>22.8</v>
      </c>
      <c r="V50">
        <f>+V$16</f>
        <v>29.8</v>
      </c>
      <c r="W50">
        <f>+V50-U50</f>
        <v>7</v>
      </c>
      <c r="X50" s="109">
        <f>+W50/U50</f>
        <v>0.30701754385964913</v>
      </c>
      <c r="Y50">
        <f t="shared" si="39"/>
        <v>0</v>
      </c>
      <c r="Z50" s="14">
        <f t="shared" si="40"/>
        <v>0</v>
      </c>
      <c r="AA50" s="58">
        <f t="shared" si="35"/>
        <v>0</v>
      </c>
      <c r="AB50" s="57">
        <f t="shared" si="41"/>
        <v>0</v>
      </c>
      <c r="AC50" s="14">
        <f t="shared" si="42"/>
        <v>0</v>
      </c>
      <c r="AD50" s="57">
        <f t="shared" si="36"/>
        <v>0</v>
      </c>
    </row>
    <row r="51" spans="1:30" ht="12.75" customHeight="1" hidden="1">
      <c r="A51" s="9">
        <f t="shared" si="45"/>
        <v>43242</v>
      </c>
      <c r="B51" s="10">
        <f t="shared" si="45"/>
        <v>43373</v>
      </c>
      <c r="C51" s="8">
        <f t="shared" si="45"/>
        <v>471.91200000000003</v>
      </c>
      <c r="D51" s="8">
        <f t="shared" si="45"/>
        <v>330.3384</v>
      </c>
      <c r="E51" s="8">
        <f t="shared" si="45"/>
        <v>178.3694117647059</v>
      </c>
      <c r="F51" s="8">
        <f t="shared" si="37"/>
        <v>540</v>
      </c>
      <c r="G51" s="8">
        <f t="shared" si="37"/>
        <v>671</v>
      </c>
      <c r="H51" s="11">
        <f t="shared" si="27"/>
        <v>1</v>
      </c>
      <c r="I51" s="11">
        <f t="shared" si="27"/>
        <v>1</v>
      </c>
      <c r="J51" s="11">
        <f t="shared" si="28"/>
        <v>0</v>
      </c>
      <c r="K51" s="8">
        <f t="shared" si="43"/>
        <v>471.91200000000003</v>
      </c>
      <c r="L51" s="8">
        <f t="shared" si="29"/>
        <v>0</v>
      </c>
      <c r="M51" s="76">
        <f t="shared" si="44"/>
        <v>0</v>
      </c>
      <c r="N51" s="76">
        <f t="shared" si="44"/>
        <v>0</v>
      </c>
      <c r="O51" s="11">
        <f t="shared" si="30"/>
        <v>50</v>
      </c>
      <c r="P51" s="12">
        <f t="shared" si="31"/>
        <v>0</v>
      </c>
      <c r="Q51" s="13">
        <f t="shared" si="25"/>
        <v>0</v>
      </c>
      <c r="R51">
        <f t="shared" si="38"/>
        <v>0</v>
      </c>
      <c r="S51" s="49">
        <f t="shared" si="32"/>
        <v>0</v>
      </c>
      <c r="U51">
        <f>+U$14</f>
        <v>31.8</v>
      </c>
      <c r="V51">
        <f>+V$14</f>
        <v>31.8</v>
      </c>
      <c r="W51">
        <f>+V51-U51</f>
        <v>0</v>
      </c>
      <c r="X51" s="109">
        <f>+W51/U51</f>
        <v>0</v>
      </c>
      <c r="Y51">
        <f t="shared" si="39"/>
        <v>0</v>
      </c>
      <c r="Z51" s="14">
        <f t="shared" si="40"/>
        <v>0</v>
      </c>
      <c r="AA51" s="58">
        <f t="shared" si="35"/>
        <v>0</v>
      </c>
      <c r="AB51" s="57">
        <f t="shared" si="41"/>
        <v>0</v>
      </c>
      <c r="AC51" s="14">
        <f t="shared" si="42"/>
        <v>0</v>
      </c>
      <c r="AD51" s="57">
        <f t="shared" si="36"/>
        <v>0</v>
      </c>
    </row>
    <row r="52" spans="1:30" ht="12.75" customHeight="1" hidden="1">
      <c r="A52" s="9">
        <f t="shared" si="45"/>
        <v>43374</v>
      </c>
      <c r="B52" s="10">
        <f t="shared" si="45"/>
        <v>43431</v>
      </c>
      <c r="C52" s="8">
        <f t="shared" si="45"/>
        <v>350.43600000000004</v>
      </c>
      <c r="D52" s="8">
        <f t="shared" si="45"/>
        <v>294.36624</v>
      </c>
      <c r="E52" s="8">
        <f t="shared" si="45"/>
        <v>178.3694117647059</v>
      </c>
      <c r="F52" s="8">
        <f t="shared" si="37"/>
        <v>672</v>
      </c>
      <c r="G52" s="8">
        <f t="shared" si="37"/>
        <v>729</v>
      </c>
      <c r="H52" s="11">
        <f t="shared" si="27"/>
        <v>1</v>
      </c>
      <c r="I52" s="11">
        <f t="shared" si="27"/>
        <v>1</v>
      </c>
      <c r="J52" s="11">
        <f t="shared" si="28"/>
        <v>0</v>
      </c>
      <c r="K52" s="8">
        <f t="shared" si="43"/>
        <v>350.43600000000004</v>
      </c>
      <c r="L52" s="8">
        <f t="shared" si="29"/>
        <v>0</v>
      </c>
      <c r="M52" s="76">
        <f t="shared" si="44"/>
        <v>0</v>
      </c>
      <c r="N52" s="76">
        <f t="shared" si="44"/>
        <v>0</v>
      </c>
      <c r="O52" s="11">
        <f t="shared" si="30"/>
        <v>50</v>
      </c>
      <c r="P52" s="12">
        <f t="shared" si="31"/>
        <v>0</v>
      </c>
      <c r="Q52" s="13">
        <f t="shared" si="25"/>
        <v>0</v>
      </c>
      <c r="R52">
        <f t="shared" si="38"/>
        <v>0</v>
      </c>
      <c r="S52" s="49">
        <f t="shared" si="32"/>
        <v>0</v>
      </c>
      <c r="U52">
        <f>+U$16</f>
        <v>22.8</v>
      </c>
      <c r="V52">
        <f>+V$16</f>
        <v>29.8</v>
      </c>
      <c r="W52">
        <f>+V52-U52</f>
        <v>7</v>
      </c>
      <c r="X52" s="109">
        <f>+W52/U52</f>
        <v>0.30701754385964913</v>
      </c>
      <c r="Y52">
        <f t="shared" si="39"/>
        <v>0</v>
      </c>
      <c r="Z52" s="14">
        <f t="shared" si="40"/>
        <v>0</v>
      </c>
      <c r="AA52" s="58">
        <f t="shared" si="35"/>
        <v>0</v>
      </c>
      <c r="AB52" s="57">
        <f t="shared" si="41"/>
        <v>0</v>
      </c>
      <c r="AC52" s="14">
        <f t="shared" si="42"/>
        <v>0</v>
      </c>
      <c r="AD52" s="57">
        <f t="shared" si="36"/>
        <v>0</v>
      </c>
    </row>
    <row r="53" spans="1:30" ht="12.75" customHeight="1" hidden="1">
      <c r="A53" s="9"/>
      <c r="B53" s="10"/>
      <c r="C53" s="8"/>
      <c r="D53" s="8"/>
      <c r="E53" s="11"/>
      <c r="F53" s="8"/>
      <c r="G53" s="8"/>
      <c r="H53" s="11"/>
      <c r="I53" s="11"/>
      <c r="J53" s="11"/>
      <c r="K53" s="8">
        <f t="shared" si="43"/>
        <v>0</v>
      </c>
      <c r="L53" s="8"/>
      <c r="M53" s="76">
        <f t="shared" si="44"/>
        <v>0</v>
      </c>
      <c r="N53" s="76">
        <f t="shared" si="44"/>
        <v>0</v>
      </c>
      <c r="O53" s="11"/>
      <c r="P53" s="12"/>
      <c r="Q53" s="13"/>
      <c r="R53">
        <f t="shared" si="38"/>
        <v>0</v>
      </c>
      <c r="S53" s="49">
        <f t="shared" si="32"/>
        <v>0</v>
      </c>
      <c r="U53">
        <f>+U$18</f>
        <v>10</v>
      </c>
      <c r="V53">
        <f>+V$18</f>
        <v>21.9</v>
      </c>
      <c r="W53">
        <f>+V53-U53</f>
        <v>11.899999999999999</v>
      </c>
      <c r="X53" s="109">
        <f>+W53/U53</f>
        <v>1.19</v>
      </c>
      <c r="Y53">
        <f t="shared" si="39"/>
        <v>0</v>
      </c>
      <c r="Z53" s="14">
        <f t="shared" si="40"/>
        <v>0</v>
      </c>
      <c r="AA53" s="58">
        <f t="shared" si="35"/>
        <v>0</v>
      </c>
      <c r="AB53" s="57">
        <f t="shared" si="41"/>
        <v>0</v>
      </c>
      <c r="AC53" s="14">
        <f t="shared" si="42"/>
        <v>0</v>
      </c>
      <c r="AD53" s="57">
        <f t="shared" si="36"/>
        <v>0</v>
      </c>
    </row>
    <row r="54" spans="1:30" ht="12.75" customHeight="1" hidden="1">
      <c r="A54" s="9"/>
      <c r="B54" s="10"/>
      <c r="C54" s="8"/>
      <c r="D54" s="8"/>
      <c r="E54" s="11"/>
      <c r="F54" s="8"/>
      <c r="G54" s="8"/>
      <c r="H54" s="11"/>
      <c r="I54" s="11"/>
      <c r="J54" s="11"/>
      <c r="K54" s="8"/>
      <c r="L54" s="8"/>
      <c r="M54" s="78"/>
      <c r="N54" s="78"/>
      <c r="O54" s="11"/>
      <c r="P54" s="12"/>
      <c r="Q54" s="13"/>
      <c r="S54" s="49"/>
      <c r="Y54">
        <f t="shared" si="39"/>
        <v>0</v>
      </c>
      <c r="Z54" s="14">
        <f>+IF(N54=0,0,U54*AQ$4*C$4*(1+AQ$5/2))</f>
        <v>0</v>
      </c>
      <c r="AA54" s="58">
        <f t="shared" si="35"/>
        <v>0</v>
      </c>
      <c r="AB54" s="57">
        <f t="shared" si="41"/>
        <v>0</v>
      </c>
      <c r="AC54" s="14">
        <f t="shared" si="42"/>
        <v>0</v>
      </c>
      <c r="AD54" s="57">
        <f t="shared" si="36"/>
        <v>0</v>
      </c>
    </row>
    <row r="55" spans="1:30" ht="12.75" customHeight="1" hidden="1">
      <c r="A55" s="9"/>
      <c r="B55" s="10"/>
      <c r="C55" s="8"/>
      <c r="D55" s="8"/>
      <c r="E55" s="11"/>
      <c r="F55" s="8"/>
      <c r="G55" s="8"/>
      <c r="H55" s="11"/>
      <c r="I55" s="11"/>
      <c r="J55" s="11"/>
      <c r="K55" s="8"/>
      <c r="L55" s="8"/>
      <c r="M55" s="78"/>
      <c r="N55" s="78"/>
      <c r="O55" s="11"/>
      <c r="P55" s="12"/>
      <c r="Q55" s="13"/>
      <c r="S55" s="49"/>
      <c r="Z55" s="14">
        <f>+IF(N55=0,0,U55*AQ$4*C$4*(1+AQ$5/2))</f>
        <v>0</v>
      </c>
      <c r="AA55" s="58"/>
      <c r="AB55" s="57"/>
      <c r="AC55" s="14"/>
      <c r="AD55" s="57"/>
    </row>
    <row r="56" spans="1:19" ht="12.75" customHeight="1" hidden="1">
      <c r="A56" s="9"/>
      <c r="B56" s="10"/>
      <c r="C56" s="8"/>
      <c r="D56" s="8"/>
      <c r="E56" s="11"/>
      <c r="F56" s="8"/>
      <c r="G56" s="8"/>
      <c r="H56" s="11"/>
      <c r="I56" s="11"/>
      <c r="J56" s="11"/>
      <c r="K56" s="8"/>
      <c r="L56" s="8"/>
      <c r="M56" s="78"/>
      <c r="N56" s="78"/>
      <c r="O56" s="11"/>
      <c r="P56" s="12"/>
      <c r="Q56" s="13"/>
      <c r="S56" s="49"/>
    </row>
    <row r="57" spans="1:30" ht="13.5" customHeight="1" hidden="1" thickBot="1">
      <c r="A57" s="15"/>
      <c r="B57" s="16"/>
      <c r="C57" s="16"/>
      <c r="D57" s="16"/>
      <c r="E57" s="16"/>
      <c r="F57" s="16"/>
      <c r="G57" s="16"/>
      <c r="H57" s="16"/>
      <c r="I57" s="16"/>
      <c r="J57" s="16"/>
      <c r="K57" s="16"/>
      <c r="L57" s="16"/>
      <c r="M57" s="82">
        <f>SUM(M37:M47)</f>
        <v>180.20000000000002</v>
      </c>
      <c r="N57" s="82">
        <f>SUM(N37:N47)</f>
        <v>180.20000000000002</v>
      </c>
      <c r="O57" s="16"/>
      <c r="P57" s="18">
        <f>SUM(P37:P52)</f>
        <v>50</v>
      </c>
      <c r="Q57" s="18"/>
      <c r="S57" s="51">
        <f>SUM(S37:S48)</f>
        <v>0</v>
      </c>
      <c r="Y57" s="17">
        <f>SUM(Y37:Y56)</f>
        <v>151.368</v>
      </c>
      <c r="Z57" s="56"/>
      <c r="AA57" s="76">
        <f>IF(C4="",0,SUM(AA37:AA55))</f>
        <v>0</v>
      </c>
      <c r="AB57" s="17">
        <f>SUM(AB37:AB56)</f>
        <v>0</v>
      </c>
      <c r="AC57" s="56"/>
      <c r="AD57" s="17">
        <f>SUM(AD37:AD56)</f>
        <v>0</v>
      </c>
    </row>
    <row r="58" spans="1:17" ht="12.75" customHeight="1" hidden="1">
      <c r="A58" s="11"/>
      <c r="B58" s="11"/>
      <c r="C58" s="11"/>
      <c r="D58" s="11"/>
      <c r="E58" s="11"/>
      <c r="F58" s="11"/>
      <c r="G58" s="11"/>
      <c r="H58" s="11"/>
      <c r="I58" s="11"/>
      <c r="J58" s="11"/>
      <c r="K58" s="11"/>
      <c r="L58" s="11"/>
      <c r="M58" s="11"/>
      <c r="N58" s="11"/>
      <c r="O58" s="11"/>
      <c r="P58" s="11"/>
      <c r="Q58" s="11"/>
    </row>
    <row r="59" spans="1:17" ht="12.75" customHeight="1" hidden="1">
      <c r="A59" s="11"/>
      <c r="B59" s="11"/>
      <c r="C59" s="11"/>
      <c r="D59" s="11"/>
      <c r="E59" s="11"/>
      <c r="F59" s="11"/>
      <c r="G59" s="11"/>
      <c r="H59" s="11"/>
      <c r="I59" s="11"/>
      <c r="J59" s="11"/>
      <c r="K59" s="11"/>
      <c r="L59" s="11"/>
      <c r="M59" s="11"/>
      <c r="N59" s="11"/>
      <c r="O59" s="11"/>
      <c r="P59" s="11"/>
      <c r="Q59" s="11"/>
    </row>
    <row r="60" spans="1:17" ht="12.75" customHeight="1" hidden="1">
      <c r="A60" s="11"/>
      <c r="B60" s="11"/>
      <c r="C60" s="11"/>
      <c r="D60" s="11"/>
      <c r="E60" s="11"/>
      <c r="F60" s="11"/>
      <c r="G60" s="11"/>
      <c r="H60" s="11"/>
      <c r="I60" s="11"/>
      <c r="J60" s="11"/>
      <c r="K60" s="11"/>
      <c r="L60" s="11"/>
      <c r="M60" s="11"/>
      <c r="N60" s="11"/>
      <c r="O60" s="11"/>
      <c r="P60" s="11"/>
      <c r="Q60" s="11"/>
    </row>
    <row r="61" spans="1:17" ht="12.75" customHeight="1" hidden="1">
      <c r="A61" s="1" t="s">
        <v>48</v>
      </c>
      <c r="B61" s="1"/>
      <c r="C61" s="1"/>
      <c r="D61" s="1"/>
      <c r="E61" s="1"/>
      <c r="F61" s="22" t="s">
        <v>9</v>
      </c>
      <c r="G61" s="22"/>
      <c r="H61" s="22" t="s">
        <v>10</v>
      </c>
      <c r="I61" s="22"/>
      <c r="J61" s="1"/>
      <c r="K61" s="1"/>
      <c r="L61" s="1"/>
      <c r="M61" s="1"/>
      <c r="N61" s="1"/>
      <c r="O61" s="1"/>
      <c r="P61" s="1"/>
      <c r="Q61" s="1"/>
    </row>
    <row r="62" spans="1:17" ht="12.75" customHeight="1" hidden="1">
      <c r="A62" s="23" t="s">
        <v>26</v>
      </c>
      <c r="B62" s="20" t="s">
        <v>27</v>
      </c>
      <c r="C62" s="1"/>
      <c r="D62" s="1" t="s">
        <v>28</v>
      </c>
      <c r="F62" s="24" t="s">
        <v>29</v>
      </c>
      <c r="G62" s="24" t="s">
        <v>30</v>
      </c>
      <c r="H62" s="22" t="s">
        <v>29</v>
      </c>
      <c r="I62" s="22" t="s">
        <v>30</v>
      </c>
      <c r="J62" s="1"/>
      <c r="K62" s="1"/>
      <c r="L62" s="1"/>
      <c r="M62" s="1"/>
      <c r="N62" s="1"/>
      <c r="O62" s="1"/>
      <c r="P62" s="1"/>
      <c r="Q62" s="1"/>
    </row>
    <row r="63" spans="1:17" ht="12.75" customHeight="1" hidden="1">
      <c r="A63" s="23" t="s">
        <v>31</v>
      </c>
      <c r="B63" s="25">
        <f>+D63*C63</f>
        <v>471.91200000000003</v>
      </c>
      <c r="C63" s="26">
        <f>1+C$69</f>
        <v>1.06</v>
      </c>
      <c r="D63" s="25">
        <f>+E63*K63</f>
        <v>445.2</v>
      </c>
      <c r="E63">
        <f>+U14</f>
        <v>31.8</v>
      </c>
      <c r="F63" s="24">
        <f>+B63</f>
        <v>471.91200000000003</v>
      </c>
      <c r="G63" s="27">
        <f>+F63*(1+$X14)</f>
        <v>471.91200000000003</v>
      </c>
      <c r="H63" s="24">
        <f>+D14</f>
        <v>330.3384</v>
      </c>
      <c r="I63" s="27">
        <f>+H63*(1+$X14)</f>
        <v>330.3384</v>
      </c>
      <c r="J63" s="1"/>
      <c r="K63" s="1">
        <v>14</v>
      </c>
      <c r="L63" s="1"/>
      <c r="M63" s="1">
        <f>+E63*8</f>
        <v>254.4</v>
      </c>
      <c r="N63" s="25">
        <f>+B63-M63</f>
        <v>217.51200000000003</v>
      </c>
      <c r="O63" s="28">
        <f>+N63/B63</f>
        <v>0.46091644204851756</v>
      </c>
      <c r="P63" s="1"/>
      <c r="Q63" s="1"/>
    </row>
    <row r="64" spans="1:17" ht="12.75" customHeight="1" hidden="1">
      <c r="A64" s="23" t="s">
        <v>32</v>
      </c>
      <c r="B64" s="25">
        <f>+D64*C64</f>
        <v>350.43600000000004</v>
      </c>
      <c r="C64" s="26">
        <f>+C63</f>
        <v>1.06</v>
      </c>
      <c r="D64" s="25">
        <f>+E64*K64</f>
        <v>330.6</v>
      </c>
      <c r="E64" s="1">
        <f>+U16</f>
        <v>22.8</v>
      </c>
      <c r="F64" s="24">
        <f>+B64</f>
        <v>350.43600000000004</v>
      </c>
      <c r="G64" s="27">
        <f>+F64*(1+$X16)</f>
        <v>458.02600000000007</v>
      </c>
      <c r="H64" s="24">
        <f>+D17</f>
        <v>294.36624</v>
      </c>
      <c r="I64" s="27">
        <f>+H64*(1+$X16)</f>
        <v>384.74184</v>
      </c>
      <c r="J64" s="1"/>
      <c r="K64" s="1">
        <v>14.5</v>
      </c>
      <c r="L64" s="1"/>
      <c r="M64" s="1">
        <f>+E64*8</f>
        <v>182.4</v>
      </c>
      <c r="N64" s="25">
        <f>+B64-M64</f>
        <v>168.03600000000003</v>
      </c>
      <c r="O64" s="28">
        <f>+N64/B64</f>
        <v>0.4795055302537411</v>
      </c>
      <c r="P64" s="1"/>
      <c r="Q64" s="1"/>
    </row>
    <row r="65" spans="1:17" ht="12.75" customHeight="1" hidden="1">
      <c r="A65" s="23" t="s">
        <v>33</v>
      </c>
      <c r="B65" s="25">
        <f>+D65*C65</f>
        <v>180.20000000000002</v>
      </c>
      <c r="C65" s="26">
        <f>+C64</f>
        <v>1.06</v>
      </c>
      <c r="D65" s="25">
        <f>+E65*K65</f>
        <v>170</v>
      </c>
      <c r="E65" s="1">
        <f>+U18</f>
        <v>10</v>
      </c>
      <c r="F65" s="24">
        <f>+B65</f>
        <v>180.20000000000002</v>
      </c>
      <c r="G65" s="27">
        <f>+F65*(1+$X18)</f>
        <v>394.63800000000003</v>
      </c>
      <c r="H65" s="24">
        <f>+D18</f>
        <v>151.368</v>
      </c>
      <c r="I65" s="27">
        <f>+H65*(1+$X18)</f>
        <v>331.49591999999996</v>
      </c>
      <c r="J65" s="1"/>
      <c r="K65" s="1">
        <v>17</v>
      </c>
      <c r="L65" s="1"/>
      <c r="M65" s="1">
        <f>+E65*8</f>
        <v>80</v>
      </c>
      <c r="N65" s="25">
        <f>+B65-M65</f>
        <v>100.20000000000002</v>
      </c>
      <c r="O65" s="28">
        <f>+N65/B65</f>
        <v>0.556048834628191</v>
      </c>
      <c r="P65" s="1"/>
      <c r="Q65" s="1"/>
    </row>
    <row r="66" spans="1:17" ht="12.75" customHeight="1" hidden="1">
      <c r="A66" s="23" t="s">
        <v>34</v>
      </c>
      <c r="B66" s="25">
        <f>+D66*C66</f>
        <v>488.7660000000001</v>
      </c>
      <c r="C66" s="26">
        <f>+C65</f>
        <v>1.06</v>
      </c>
      <c r="D66" s="25">
        <f>+E66*K66</f>
        <v>461.1</v>
      </c>
      <c r="E66" s="1">
        <f>+U28</f>
        <v>31.8</v>
      </c>
      <c r="F66" s="24">
        <f>+B66</f>
        <v>488.7660000000001</v>
      </c>
      <c r="G66" s="27">
        <f>+F66*(1+$X28)</f>
        <v>488.7660000000001</v>
      </c>
      <c r="H66" s="24">
        <f>+H65</f>
        <v>151.368</v>
      </c>
      <c r="I66" s="27">
        <f>+H66*(1+$X28)</f>
        <v>151.368</v>
      </c>
      <c r="J66" s="1"/>
      <c r="K66" s="1">
        <v>14.5</v>
      </c>
      <c r="L66" s="1"/>
      <c r="M66" s="1">
        <f>+E66*8</f>
        <v>254.4</v>
      </c>
      <c r="N66" s="25">
        <f>+B66-M66</f>
        <v>234.36600000000007</v>
      </c>
      <c r="O66" s="28">
        <f>+N66/B66</f>
        <v>0.4795055302537411</v>
      </c>
      <c r="P66" s="1"/>
      <c r="Q66" s="1"/>
    </row>
    <row r="67" spans="1:17" ht="12.75" customHeight="1" hidden="1">
      <c r="A67" s="72"/>
      <c r="B67" s="72"/>
      <c r="C67" s="72"/>
      <c r="D67" s="72"/>
      <c r="E67" s="72"/>
      <c r="F67" s="72"/>
      <c r="G67" s="72"/>
      <c r="H67" s="72"/>
      <c r="I67" s="72"/>
      <c r="J67" s="72"/>
      <c r="K67" s="2">
        <v>1.05</v>
      </c>
      <c r="L67" s="2">
        <v>0.6</v>
      </c>
      <c r="M67" s="72"/>
      <c r="N67" s="1"/>
      <c r="O67" s="1"/>
      <c r="P67" s="1"/>
      <c r="Q67" s="1"/>
    </row>
    <row r="68" spans="1:17" ht="12.75" customHeight="1" hidden="1">
      <c r="A68" s="1" t="s">
        <v>44</v>
      </c>
      <c r="B68" s="60">
        <f>+B69*(1+A69)*(1+(G34-1)/C68)</f>
        <v>220.79408088235294</v>
      </c>
      <c r="C68" s="74">
        <v>4</v>
      </c>
      <c r="D68" s="72"/>
      <c r="E68" s="72" t="s">
        <v>10</v>
      </c>
      <c r="F68" s="72" t="s">
        <v>9</v>
      </c>
      <c r="G68" s="72"/>
      <c r="H68" s="72" t="s">
        <v>15</v>
      </c>
      <c r="I68" s="72" t="s">
        <v>45</v>
      </c>
      <c r="J68" s="72" t="s">
        <v>46</v>
      </c>
      <c r="K68" s="72" t="s">
        <v>10</v>
      </c>
      <c r="L68" s="72" t="s">
        <v>9</v>
      </c>
      <c r="M68" s="72"/>
      <c r="N68" s="25">
        <f>+B68-M68</f>
        <v>220.79408088235294</v>
      </c>
      <c r="O68" s="28">
        <f>+N68/B68</f>
        <v>1</v>
      </c>
      <c r="P68" s="1"/>
      <c r="Q68" s="1"/>
    </row>
    <row r="69" spans="1:17" ht="12.75" customHeight="1" hidden="1">
      <c r="A69" s="73">
        <v>0.55</v>
      </c>
      <c r="B69" s="1">
        <f>+IF(F5&lt;180,98,115)</f>
        <v>115</v>
      </c>
      <c r="C69" s="2">
        <v>0.06</v>
      </c>
      <c r="D69" s="72"/>
      <c r="E69" s="80">
        <v>62</v>
      </c>
      <c r="F69" s="99">
        <v>90</v>
      </c>
      <c r="G69" s="72"/>
      <c r="H69" s="72" t="str">
        <f>+IF($B69&lt;E69,"S","R")</f>
        <v>R</v>
      </c>
      <c r="I69" s="72" t="str">
        <f>+IF($B69&lt;F69,"S","R")</f>
        <v>R</v>
      </c>
      <c r="J69" s="72" t="str">
        <f>+IF(F5&lt;60,IF(F5&lt;41,"S",H69),I69)</f>
        <v>R</v>
      </c>
      <c r="K69" s="74">
        <f>+E69*(1+K67)*(1+($G34-1)/C68)</f>
        <v>157.4357794117647</v>
      </c>
      <c r="L69" s="74">
        <f>+F69*(1+L67)*(1+($G34-1)/C68)</f>
        <v>178.3694117647059</v>
      </c>
      <c r="M69" s="25">
        <f>+IF(OR(J69="R",N12="n"),IF(F5&lt;60,K69,L69),B68)</f>
        <v>178.3694117647059</v>
      </c>
      <c r="N69" s="1"/>
      <c r="O69" s="1"/>
      <c r="P69" s="1"/>
      <c r="Q69" s="1"/>
    </row>
    <row r="70" spans="1:17" ht="12.75" customHeight="1" hidden="1">
      <c r="A70" s="1"/>
      <c r="B70" s="29">
        <f>+B68*0.92</f>
        <v>203.1305544117647</v>
      </c>
      <c r="C70" s="1" t="s">
        <v>35</v>
      </c>
      <c r="D70" s="1"/>
      <c r="E70" s="30" t="s">
        <v>36</v>
      </c>
      <c r="F70" s="1"/>
      <c r="G70" s="1"/>
      <c r="H70" s="29">
        <f>+H66</f>
        <v>151.368</v>
      </c>
      <c r="I70" s="1"/>
      <c r="J70" s="1"/>
      <c r="K70" s="1"/>
      <c r="L70" s="1"/>
      <c r="M70" s="1"/>
      <c r="N70" s="1"/>
      <c r="O70" s="1"/>
      <c r="P70" s="1"/>
      <c r="Q70" s="1"/>
    </row>
    <row r="71" spans="1:17" ht="12.75">
      <c r="A71" s="62">
        <f ca="1">+TODAY()</f>
        <v>42425</v>
      </c>
      <c r="D71" s="25"/>
      <c r="E71" s="1"/>
      <c r="F71" s="1"/>
      <c r="G71" s="1"/>
      <c r="H71" s="1"/>
      <c r="I71" s="1"/>
      <c r="J71" s="1"/>
      <c r="K71" s="1"/>
      <c r="L71" s="1"/>
      <c r="M71" s="1"/>
      <c r="N71" s="1"/>
      <c r="O71" s="1"/>
      <c r="P71" s="1"/>
      <c r="Q71" s="1"/>
    </row>
    <row r="100" ht="12.75">
      <c r="A100" t="s">
        <v>57</v>
      </c>
    </row>
  </sheetData>
  <sheetProtection password="CCC0" sheet="1" objects="1" scenarios="1" selectLockedCells="1"/>
  <mergeCells count="8">
    <mergeCell ref="A13:K13"/>
    <mergeCell ref="AX1:AZ1"/>
    <mergeCell ref="A1:C1"/>
    <mergeCell ref="E1:K1"/>
    <mergeCell ref="O11:W11"/>
    <mergeCell ref="A11:K11"/>
    <mergeCell ref="E6:J6"/>
    <mergeCell ref="A12:K12"/>
  </mergeCells>
  <conditionalFormatting sqref="U2">
    <cfRule type="cellIs" priority="25" dxfId="26" operator="lessThan" stopIfTrue="1">
      <formula>20</formula>
    </cfRule>
  </conditionalFormatting>
  <conditionalFormatting sqref="A8:B8">
    <cfRule type="expression" priority="22" dxfId="3" stopIfTrue="1">
      <formula>$K$10="n"</formula>
    </cfRule>
    <cfRule type="expression" priority="23" dxfId="3" stopIfTrue="1">
      <formula>$K$10=""</formula>
    </cfRule>
  </conditionalFormatting>
  <conditionalFormatting sqref="A8:B8">
    <cfRule type="expression" priority="24" dxfId="1" stopIfTrue="1">
      <formula>$K$10&lt;&gt;""</formula>
    </cfRule>
  </conditionalFormatting>
  <conditionalFormatting sqref="J9">
    <cfRule type="expression" priority="20" dxfId="7" stopIfTrue="1">
      <formula>$J$9=0</formula>
    </cfRule>
    <cfRule type="expression" priority="21" dxfId="3" stopIfTrue="1">
      <formula>$A$10="Discount Total"</formula>
    </cfRule>
  </conditionalFormatting>
  <conditionalFormatting sqref="N9:O9">
    <cfRule type="expression" priority="19" dxfId="8" stopIfTrue="1">
      <formula>$M$9="Rent Weekends"</formula>
    </cfRule>
  </conditionalFormatting>
  <conditionalFormatting sqref="N7:Q7">
    <cfRule type="expression" priority="18" dxfId="8" stopIfTrue="1">
      <formula>$M$7="Check even if 1 unit available."</formula>
    </cfRule>
  </conditionalFormatting>
  <conditionalFormatting sqref="P8">
    <cfRule type="expression" priority="17" dxfId="8" stopIfTrue="1">
      <formula>$M$8="Check Space Available"</formula>
    </cfRule>
  </conditionalFormatting>
  <conditionalFormatting sqref="N8:O8">
    <cfRule type="expression" priority="16" dxfId="8" stopIfTrue="1">
      <formula>$M$8="Check Space Available"</formula>
    </cfRule>
  </conditionalFormatting>
  <conditionalFormatting sqref="M9">
    <cfRule type="expression" priority="15" dxfId="8" stopIfTrue="1">
      <formula>$M$9="Rent Weekends"</formula>
    </cfRule>
  </conditionalFormatting>
  <conditionalFormatting sqref="M7">
    <cfRule type="expression" priority="14" dxfId="8" stopIfTrue="1">
      <formula>$M$7="Check even if 1 unit available."</formula>
    </cfRule>
  </conditionalFormatting>
  <conditionalFormatting sqref="M8">
    <cfRule type="expression" priority="13" dxfId="8" stopIfTrue="1">
      <formula>$M$8="Check Space Available"</formula>
    </cfRule>
  </conditionalFormatting>
  <conditionalFormatting sqref="M3:S3">
    <cfRule type="expression" priority="9" dxfId="11" stopIfTrue="1">
      <formula>$M$4&gt;$B$10/1.04</formula>
    </cfRule>
    <cfRule type="expression" priority="12" dxfId="8" stopIfTrue="1">
      <formula>$M$3="Forward sent reply to Rick; put below $ in Subject."</formula>
    </cfRule>
  </conditionalFormatting>
  <conditionalFormatting sqref="M4">
    <cfRule type="expression" priority="10" dxfId="11" stopIfTrue="1">
      <formula>$M$4&gt;$B$10/1.04</formula>
    </cfRule>
    <cfRule type="expression" priority="11" dxfId="10">
      <formula>$M$4&lt;&gt;""</formula>
    </cfRule>
  </conditionalFormatting>
  <conditionalFormatting sqref="AK7">
    <cfRule type="expression" priority="26" dxfId="7" stopIfTrue="1">
      <formula>$M$3&lt;&gt;"Change Discounted total to below and refer to Rick"</formula>
    </cfRule>
    <cfRule type="expression" priority="27" dxfId="8" stopIfTrue="1">
      <formula>$AK$7&gt;0</formula>
    </cfRule>
  </conditionalFormatting>
  <conditionalFormatting sqref="H10:K10">
    <cfRule type="expression" priority="8" dxfId="7" stopIfTrue="1">
      <formula>$K$10="n"</formula>
    </cfRule>
  </conditionalFormatting>
  <conditionalFormatting sqref="A10">
    <cfRule type="expression" priority="7" dxfId="3" stopIfTrue="1">
      <formula>$A$10="Discounted Total"</formula>
    </cfRule>
  </conditionalFormatting>
  <conditionalFormatting sqref="A10">
    <cfRule type="expression" priority="6" dxfId="4" stopIfTrue="1">
      <formula>$K$10="n"</formula>
    </cfRule>
  </conditionalFormatting>
  <conditionalFormatting sqref="B10">
    <cfRule type="expression" priority="4" dxfId="4" stopIfTrue="1">
      <formula>$K$10="n"</formula>
    </cfRule>
  </conditionalFormatting>
  <conditionalFormatting sqref="B10">
    <cfRule type="expression" priority="5" dxfId="3" stopIfTrue="1">
      <formula>K10&lt;&gt;""</formula>
    </cfRule>
  </conditionalFormatting>
  <conditionalFormatting sqref="N12">
    <cfRule type="expression" priority="3" dxfId="2" stopIfTrue="1">
      <formula>$M$12=""</formula>
    </cfRule>
  </conditionalFormatting>
  <conditionalFormatting sqref="A11:K11">
    <cfRule type="expression" priority="2" dxfId="1" stopIfTrue="1">
      <formula>$A$11&lt;&gt;""</formula>
    </cfRule>
  </conditionalFormatting>
  <conditionalFormatting sqref="A12">
    <cfRule type="expression" priority="1" dxfId="0" stopIfTrue="1">
      <formula>$A$12&lt;&gt;""</formula>
    </cfRule>
  </conditionalFormatting>
  <hyperlinks>
    <hyperlink ref="A1:C1" r:id="rId1" display="http://www.homesteadfarmsresort.com/"/>
  </hyperlinks>
  <printOptions/>
  <pageMargins left="0.7479166666666667" right="0.7479166666666667" top="0.9840277777777777" bottom="0.9840277777777777" header="0.5118055555555555" footer="0.5118055555555555"/>
  <pageSetup horizontalDpi="300" verticalDpi="300" orientation="portrait"/>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Homestead Farms Resort Lynden, Washington  Discount Timeshare Rentals Condominium</dc:title>
  <dc:subject/>
  <dc:creator/>
  <cp:keywords/>
  <dc:description/>
  <cp:lastModifiedBy>Rick</cp:lastModifiedBy>
  <dcterms:modified xsi:type="dcterms:W3CDTF">2016-02-25T22:09:44Z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